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0" yWindow="0" windowWidth="38400" windowHeight="17010"/>
  </bookViews>
  <sheets>
    <sheet name="RETURNEE DATASET" sheetId="1" r:id="rId1"/>
    <sheet name="Summary" sheetId="2" r:id="rId2"/>
  </sheets>
  <definedNames>
    <definedName name="_xlnm._FilterDatabase" localSheetId="0" hidden="1">'RETURNEE DATASET'!$A$4:$AW$1068</definedName>
  </definedNames>
  <calcPr calcId="171027"/>
</workbook>
</file>

<file path=xl/calcChain.xml><?xml version="1.0" encoding="utf-8"?>
<calcChain xmlns="http://schemas.openxmlformats.org/spreadsheetml/2006/main">
  <c r="AU5" i="1" l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AU373" i="1"/>
  <c r="AV373" i="1"/>
  <c r="AW373" i="1"/>
  <c r="AU374" i="1"/>
  <c r="AV374" i="1"/>
  <c r="AW374" i="1"/>
  <c r="AU375" i="1"/>
  <c r="AV375" i="1"/>
  <c r="AW375" i="1"/>
  <c r="AU376" i="1"/>
  <c r="AV376" i="1"/>
  <c r="AW376" i="1"/>
  <c r="AU377" i="1"/>
  <c r="AV377" i="1"/>
  <c r="AW377" i="1"/>
  <c r="AU378" i="1"/>
  <c r="AV378" i="1"/>
  <c r="AW378" i="1"/>
  <c r="AU379" i="1"/>
  <c r="AV379" i="1"/>
  <c r="AW379" i="1"/>
  <c r="AU380" i="1"/>
  <c r="AV380" i="1"/>
  <c r="AW380" i="1"/>
  <c r="AU381" i="1"/>
  <c r="AV381" i="1"/>
  <c r="AW381" i="1"/>
  <c r="AU382" i="1"/>
  <c r="AV382" i="1"/>
  <c r="AW382" i="1"/>
  <c r="AU383" i="1"/>
  <c r="AV383" i="1"/>
  <c r="AW383" i="1"/>
  <c r="AU384" i="1"/>
  <c r="AV384" i="1"/>
  <c r="AW384" i="1"/>
  <c r="AU385" i="1"/>
  <c r="AV385" i="1"/>
  <c r="AW385" i="1"/>
  <c r="AU386" i="1"/>
  <c r="AV386" i="1"/>
  <c r="AW386" i="1"/>
  <c r="AU387" i="1"/>
  <c r="AV387" i="1"/>
  <c r="AW387" i="1"/>
  <c r="AU388" i="1"/>
  <c r="AV388" i="1"/>
  <c r="AW388" i="1"/>
  <c r="AU389" i="1"/>
  <c r="AV389" i="1"/>
  <c r="AW389" i="1"/>
  <c r="AU390" i="1"/>
  <c r="AV390" i="1"/>
  <c r="AW390" i="1"/>
  <c r="AU391" i="1"/>
  <c r="AV391" i="1"/>
  <c r="AW391" i="1"/>
  <c r="AU392" i="1"/>
  <c r="AV392" i="1"/>
  <c r="AW392" i="1"/>
  <c r="AU393" i="1"/>
  <c r="AV393" i="1"/>
  <c r="AW393" i="1"/>
  <c r="AU394" i="1"/>
  <c r="AV394" i="1"/>
  <c r="AW394" i="1"/>
  <c r="AU395" i="1"/>
  <c r="AV395" i="1"/>
  <c r="AW395" i="1"/>
  <c r="AU396" i="1"/>
  <c r="AV396" i="1"/>
  <c r="AW396" i="1"/>
  <c r="AU397" i="1"/>
  <c r="AV397" i="1"/>
  <c r="AW397" i="1"/>
  <c r="AU398" i="1"/>
  <c r="AV398" i="1"/>
  <c r="AW398" i="1"/>
  <c r="AU399" i="1"/>
  <c r="AV399" i="1"/>
  <c r="AW399" i="1"/>
  <c r="AU400" i="1"/>
  <c r="AV400" i="1"/>
  <c r="AW400" i="1"/>
  <c r="AU401" i="1"/>
  <c r="AV401" i="1"/>
  <c r="AW401" i="1"/>
  <c r="AU402" i="1"/>
  <c r="AV402" i="1"/>
  <c r="AW402" i="1"/>
  <c r="AU403" i="1"/>
  <c r="AV403" i="1"/>
  <c r="AW403" i="1"/>
  <c r="AU404" i="1"/>
  <c r="AV404" i="1"/>
  <c r="AW404" i="1"/>
  <c r="AU405" i="1"/>
  <c r="AV405" i="1"/>
  <c r="AW405" i="1"/>
  <c r="AU406" i="1"/>
  <c r="AV406" i="1"/>
  <c r="AW406" i="1"/>
  <c r="AU407" i="1"/>
  <c r="AV407" i="1"/>
  <c r="AW407" i="1"/>
  <c r="AU408" i="1"/>
  <c r="AV408" i="1"/>
  <c r="AW408" i="1"/>
  <c r="AU409" i="1"/>
  <c r="AV409" i="1"/>
  <c r="AW409" i="1"/>
  <c r="AU410" i="1"/>
  <c r="AV410" i="1"/>
  <c r="AW410" i="1"/>
  <c r="AU411" i="1"/>
  <c r="AV411" i="1"/>
  <c r="AW411" i="1"/>
  <c r="AU412" i="1"/>
  <c r="AV412" i="1"/>
  <c r="AW412" i="1"/>
  <c r="AU413" i="1"/>
  <c r="AV413" i="1"/>
  <c r="AW413" i="1"/>
  <c r="AU414" i="1"/>
  <c r="AV414" i="1"/>
  <c r="AW414" i="1"/>
  <c r="AU415" i="1"/>
  <c r="AV415" i="1"/>
  <c r="AW415" i="1"/>
  <c r="AU416" i="1"/>
  <c r="AV416" i="1"/>
  <c r="AW416" i="1"/>
  <c r="AU417" i="1"/>
  <c r="AV417" i="1"/>
  <c r="AW417" i="1"/>
  <c r="AU418" i="1"/>
  <c r="AV418" i="1"/>
  <c r="AW418" i="1"/>
  <c r="AU419" i="1"/>
  <c r="AV419" i="1"/>
  <c r="AW419" i="1"/>
  <c r="AU420" i="1"/>
  <c r="AV420" i="1"/>
  <c r="AW420" i="1"/>
  <c r="AU421" i="1"/>
  <c r="AV421" i="1"/>
  <c r="AW421" i="1"/>
  <c r="AU422" i="1"/>
  <c r="AV422" i="1"/>
  <c r="AW422" i="1"/>
  <c r="AU423" i="1"/>
  <c r="AV423" i="1"/>
  <c r="AW423" i="1"/>
  <c r="AU424" i="1"/>
  <c r="AV424" i="1"/>
  <c r="AW424" i="1"/>
  <c r="AU425" i="1"/>
  <c r="AV425" i="1"/>
  <c r="AW425" i="1"/>
  <c r="AU426" i="1"/>
  <c r="AV426" i="1"/>
  <c r="AW426" i="1"/>
  <c r="AU427" i="1"/>
  <c r="AV427" i="1"/>
  <c r="AW427" i="1"/>
  <c r="AU428" i="1"/>
  <c r="AV428" i="1"/>
  <c r="AW428" i="1"/>
  <c r="AU429" i="1"/>
  <c r="AV429" i="1"/>
  <c r="AW429" i="1"/>
  <c r="AU430" i="1"/>
  <c r="AV430" i="1"/>
  <c r="AW430" i="1"/>
  <c r="AU431" i="1"/>
  <c r="AV431" i="1"/>
  <c r="AW431" i="1"/>
  <c r="AU432" i="1"/>
  <c r="AV432" i="1"/>
  <c r="AW432" i="1"/>
  <c r="AU433" i="1"/>
  <c r="AV433" i="1"/>
  <c r="AW433" i="1"/>
  <c r="AU434" i="1"/>
  <c r="AV434" i="1"/>
  <c r="AW434" i="1"/>
  <c r="AU435" i="1"/>
  <c r="AV435" i="1"/>
  <c r="AW435" i="1"/>
  <c r="AU436" i="1"/>
  <c r="AV436" i="1"/>
  <c r="AW436" i="1"/>
  <c r="AU437" i="1"/>
  <c r="AV437" i="1"/>
  <c r="AW437" i="1"/>
  <c r="AU438" i="1"/>
  <c r="AV438" i="1"/>
  <c r="AW438" i="1"/>
  <c r="AU439" i="1"/>
  <c r="AV439" i="1"/>
  <c r="AW439" i="1"/>
  <c r="AU440" i="1"/>
  <c r="AV440" i="1"/>
  <c r="AW440" i="1"/>
  <c r="AU441" i="1"/>
  <c r="AV441" i="1"/>
  <c r="AW441" i="1"/>
  <c r="AU442" i="1"/>
  <c r="AV442" i="1"/>
  <c r="AW442" i="1"/>
  <c r="AU443" i="1"/>
  <c r="AV443" i="1"/>
  <c r="AW443" i="1"/>
  <c r="AU444" i="1"/>
  <c r="AV444" i="1"/>
  <c r="AW444" i="1"/>
  <c r="AU445" i="1"/>
  <c r="AV445" i="1"/>
  <c r="AW445" i="1"/>
  <c r="AU446" i="1"/>
  <c r="AV446" i="1"/>
  <c r="AW446" i="1"/>
  <c r="AU447" i="1"/>
  <c r="AV447" i="1"/>
  <c r="AW447" i="1"/>
  <c r="AU448" i="1"/>
  <c r="AV448" i="1"/>
  <c r="AW448" i="1"/>
  <c r="AU449" i="1"/>
  <c r="AV449" i="1"/>
  <c r="AW449" i="1"/>
  <c r="AU450" i="1"/>
  <c r="AV450" i="1"/>
  <c r="AW450" i="1"/>
  <c r="AU451" i="1"/>
  <c r="AV451" i="1"/>
  <c r="AW451" i="1"/>
  <c r="AU452" i="1"/>
  <c r="AV452" i="1"/>
  <c r="AW452" i="1"/>
  <c r="AU453" i="1"/>
  <c r="AV453" i="1"/>
  <c r="AW453" i="1"/>
  <c r="AU454" i="1"/>
  <c r="AV454" i="1"/>
  <c r="AW454" i="1"/>
  <c r="AU455" i="1"/>
  <c r="AV455" i="1"/>
  <c r="AW455" i="1"/>
  <c r="AU456" i="1"/>
  <c r="AV456" i="1"/>
  <c r="AW456" i="1"/>
  <c r="AU457" i="1"/>
  <c r="AV457" i="1"/>
  <c r="AW457" i="1"/>
  <c r="AU458" i="1"/>
  <c r="AV458" i="1"/>
  <c r="AW458" i="1"/>
  <c r="AU459" i="1"/>
  <c r="AV459" i="1"/>
  <c r="AW459" i="1"/>
  <c r="AU460" i="1"/>
  <c r="AV460" i="1"/>
  <c r="AW460" i="1"/>
  <c r="AU461" i="1"/>
  <c r="AV461" i="1"/>
  <c r="AW461" i="1"/>
  <c r="AU462" i="1"/>
  <c r="AV462" i="1"/>
  <c r="AW462" i="1"/>
  <c r="AU463" i="1"/>
  <c r="AV463" i="1"/>
  <c r="AW463" i="1"/>
  <c r="AU464" i="1"/>
  <c r="AV464" i="1"/>
  <c r="AW464" i="1"/>
  <c r="AU465" i="1"/>
  <c r="AV465" i="1"/>
  <c r="AW465" i="1"/>
  <c r="AU466" i="1"/>
  <c r="AV466" i="1"/>
  <c r="AW466" i="1"/>
  <c r="AU467" i="1"/>
  <c r="AV467" i="1"/>
  <c r="AW467" i="1"/>
  <c r="AU468" i="1"/>
  <c r="AV468" i="1"/>
  <c r="AW468" i="1"/>
  <c r="AU469" i="1"/>
  <c r="AV469" i="1"/>
  <c r="AW469" i="1"/>
  <c r="AU470" i="1"/>
  <c r="AV470" i="1"/>
  <c r="AW470" i="1"/>
  <c r="AU471" i="1"/>
  <c r="AV471" i="1"/>
  <c r="AW471" i="1"/>
  <c r="AU472" i="1"/>
  <c r="AV472" i="1"/>
  <c r="AW472" i="1"/>
  <c r="AU473" i="1"/>
  <c r="AV473" i="1"/>
  <c r="AW473" i="1"/>
  <c r="AU474" i="1"/>
  <c r="AV474" i="1"/>
  <c r="AW474" i="1"/>
  <c r="AU475" i="1"/>
  <c r="AV475" i="1"/>
  <c r="AW475" i="1"/>
  <c r="AU476" i="1"/>
  <c r="AV476" i="1"/>
  <c r="AW476" i="1"/>
  <c r="AU477" i="1"/>
  <c r="AV477" i="1"/>
  <c r="AW477" i="1"/>
  <c r="AU478" i="1"/>
  <c r="AV478" i="1"/>
  <c r="AW478" i="1"/>
  <c r="AU479" i="1"/>
  <c r="AV479" i="1"/>
  <c r="AW479" i="1"/>
  <c r="AU480" i="1"/>
  <c r="AV480" i="1"/>
  <c r="AW480" i="1"/>
  <c r="AU481" i="1"/>
  <c r="AV481" i="1"/>
  <c r="AW481" i="1"/>
  <c r="AU482" i="1"/>
  <c r="AV482" i="1"/>
  <c r="AW482" i="1"/>
  <c r="AU483" i="1"/>
  <c r="AV483" i="1"/>
  <c r="AW483" i="1"/>
  <c r="AU484" i="1"/>
  <c r="AV484" i="1"/>
  <c r="AW484" i="1"/>
  <c r="AU485" i="1"/>
  <c r="AV485" i="1"/>
  <c r="AW485" i="1"/>
  <c r="AU486" i="1"/>
  <c r="AV486" i="1"/>
  <c r="AW486" i="1"/>
  <c r="AU487" i="1"/>
  <c r="AV487" i="1"/>
  <c r="AW487" i="1"/>
  <c r="AU488" i="1"/>
  <c r="AV488" i="1"/>
  <c r="AW488" i="1"/>
  <c r="AU489" i="1"/>
  <c r="AV489" i="1"/>
  <c r="AW489" i="1"/>
  <c r="AU490" i="1"/>
  <c r="AV490" i="1"/>
  <c r="AW490" i="1"/>
  <c r="AU491" i="1"/>
  <c r="AV491" i="1"/>
  <c r="AW491" i="1"/>
  <c r="AU492" i="1"/>
  <c r="AV492" i="1"/>
  <c r="AW492" i="1"/>
  <c r="AU493" i="1"/>
  <c r="AV493" i="1"/>
  <c r="AW493" i="1"/>
  <c r="AU494" i="1"/>
  <c r="AV494" i="1"/>
  <c r="AW494" i="1"/>
  <c r="AU495" i="1"/>
  <c r="AV495" i="1"/>
  <c r="AW495" i="1"/>
  <c r="AU496" i="1"/>
  <c r="AV496" i="1"/>
  <c r="AW496" i="1"/>
  <c r="AU497" i="1"/>
  <c r="AV497" i="1"/>
  <c r="AW497" i="1"/>
  <c r="AU498" i="1"/>
  <c r="AV498" i="1"/>
  <c r="AW498" i="1"/>
  <c r="AU499" i="1"/>
  <c r="AV499" i="1"/>
  <c r="AW499" i="1"/>
  <c r="AU500" i="1"/>
  <c r="AV500" i="1"/>
  <c r="AW500" i="1"/>
  <c r="AU501" i="1"/>
  <c r="AV501" i="1"/>
  <c r="AW501" i="1"/>
  <c r="AU502" i="1"/>
  <c r="AV502" i="1"/>
  <c r="AW502" i="1"/>
  <c r="AU503" i="1"/>
  <c r="AV503" i="1"/>
  <c r="AW503" i="1"/>
  <c r="AU504" i="1"/>
  <c r="AV504" i="1"/>
  <c r="AW504" i="1"/>
  <c r="AU505" i="1"/>
  <c r="AV505" i="1"/>
  <c r="AW505" i="1"/>
  <c r="AU506" i="1"/>
  <c r="AV506" i="1"/>
  <c r="AW506" i="1"/>
  <c r="AU507" i="1"/>
  <c r="AV507" i="1"/>
  <c r="AW507" i="1"/>
  <c r="AU508" i="1"/>
  <c r="AV508" i="1"/>
  <c r="AW508" i="1"/>
  <c r="AU509" i="1"/>
  <c r="AV509" i="1"/>
  <c r="AW509" i="1"/>
  <c r="AU510" i="1"/>
  <c r="AV510" i="1"/>
  <c r="AW510" i="1"/>
  <c r="AU511" i="1"/>
  <c r="AV511" i="1"/>
  <c r="AW511" i="1"/>
  <c r="AU512" i="1"/>
  <c r="AV512" i="1"/>
  <c r="AW512" i="1"/>
  <c r="AU513" i="1"/>
  <c r="AV513" i="1"/>
  <c r="AW513" i="1"/>
  <c r="AU514" i="1"/>
  <c r="AV514" i="1"/>
  <c r="AW514" i="1"/>
  <c r="AU515" i="1"/>
  <c r="AV515" i="1"/>
  <c r="AW515" i="1"/>
  <c r="AU516" i="1"/>
  <c r="AV516" i="1"/>
  <c r="AW516" i="1"/>
  <c r="AU517" i="1"/>
  <c r="AV517" i="1"/>
  <c r="AW517" i="1"/>
  <c r="AU518" i="1"/>
  <c r="AV518" i="1"/>
  <c r="AW518" i="1"/>
  <c r="AU519" i="1"/>
  <c r="AV519" i="1"/>
  <c r="AW519" i="1"/>
  <c r="AU520" i="1"/>
  <c r="AV520" i="1"/>
  <c r="AW520" i="1"/>
  <c r="AU521" i="1"/>
  <c r="AV521" i="1"/>
  <c r="AW521" i="1"/>
  <c r="AU522" i="1"/>
  <c r="AV522" i="1"/>
  <c r="AW522" i="1"/>
  <c r="AU523" i="1"/>
  <c r="AV523" i="1"/>
  <c r="AW523" i="1"/>
  <c r="AU524" i="1"/>
  <c r="AV524" i="1"/>
  <c r="AW524" i="1"/>
  <c r="AU525" i="1"/>
  <c r="AV525" i="1"/>
  <c r="AW525" i="1"/>
  <c r="AU526" i="1"/>
  <c r="AV526" i="1"/>
  <c r="AW526" i="1"/>
  <c r="AU527" i="1"/>
  <c r="AV527" i="1"/>
  <c r="AW527" i="1"/>
  <c r="AU528" i="1"/>
  <c r="AV528" i="1"/>
  <c r="AW528" i="1"/>
  <c r="AU529" i="1"/>
  <c r="AV529" i="1"/>
  <c r="AW529" i="1"/>
  <c r="AU530" i="1"/>
  <c r="AV530" i="1"/>
  <c r="AW530" i="1"/>
  <c r="AU531" i="1"/>
  <c r="AV531" i="1"/>
  <c r="AW531" i="1"/>
  <c r="AU532" i="1"/>
  <c r="AV532" i="1"/>
  <c r="AW532" i="1"/>
  <c r="AU533" i="1"/>
  <c r="AV533" i="1"/>
  <c r="AW533" i="1"/>
  <c r="AU534" i="1"/>
  <c r="AV534" i="1"/>
  <c r="AW534" i="1"/>
  <c r="AU535" i="1"/>
  <c r="AV535" i="1"/>
  <c r="AW535" i="1"/>
  <c r="AU536" i="1"/>
  <c r="AV536" i="1"/>
  <c r="AW536" i="1"/>
  <c r="AU537" i="1"/>
  <c r="AV537" i="1"/>
  <c r="AW537" i="1"/>
  <c r="AU538" i="1"/>
  <c r="AV538" i="1"/>
  <c r="AW538" i="1"/>
  <c r="AU539" i="1"/>
  <c r="AV539" i="1"/>
  <c r="AW539" i="1"/>
  <c r="AU540" i="1"/>
  <c r="AV540" i="1"/>
  <c r="AW540" i="1"/>
  <c r="AU541" i="1"/>
  <c r="AV541" i="1"/>
  <c r="AW541" i="1"/>
  <c r="AU542" i="1"/>
  <c r="AV542" i="1"/>
  <c r="AW542" i="1"/>
  <c r="AU543" i="1"/>
  <c r="AV543" i="1"/>
  <c r="AW543" i="1"/>
  <c r="AU544" i="1"/>
  <c r="AV544" i="1"/>
  <c r="AW544" i="1"/>
  <c r="AU545" i="1"/>
  <c r="AV545" i="1"/>
  <c r="AW545" i="1"/>
  <c r="AU546" i="1"/>
  <c r="AV546" i="1"/>
  <c r="AW546" i="1"/>
  <c r="AU547" i="1"/>
  <c r="AV547" i="1"/>
  <c r="AW547" i="1"/>
  <c r="AU548" i="1"/>
  <c r="AV548" i="1"/>
  <c r="AW548" i="1"/>
  <c r="AU549" i="1"/>
  <c r="AV549" i="1"/>
  <c r="AW549" i="1"/>
  <c r="AU550" i="1"/>
  <c r="AV550" i="1"/>
  <c r="AW550" i="1"/>
  <c r="AU551" i="1"/>
  <c r="AV551" i="1"/>
  <c r="AW551" i="1"/>
  <c r="AU552" i="1"/>
  <c r="AV552" i="1"/>
  <c r="AW552" i="1"/>
  <c r="AU553" i="1"/>
  <c r="AV553" i="1"/>
  <c r="AW553" i="1"/>
  <c r="AU554" i="1"/>
  <c r="AV554" i="1"/>
  <c r="AW554" i="1"/>
  <c r="AU555" i="1"/>
  <c r="AV555" i="1"/>
  <c r="AW555" i="1"/>
  <c r="AU556" i="1"/>
  <c r="AV556" i="1"/>
  <c r="AW556" i="1"/>
  <c r="AU557" i="1"/>
  <c r="AV557" i="1"/>
  <c r="AW557" i="1"/>
  <c r="AU558" i="1"/>
  <c r="AV558" i="1"/>
  <c r="AW558" i="1"/>
  <c r="AU559" i="1"/>
  <c r="AV559" i="1"/>
  <c r="AW559" i="1"/>
  <c r="AU560" i="1"/>
  <c r="AV560" i="1"/>
  <c r="AW560" i="1"/>
  <c r="AU561" i="1"/>
  <c r="AV561" i="1"/>
  <c r="AW561" i="1"/>
  <c r="AU562" i="1"/>
  <c r="AV562" i="1"/>
  <c r="AW562" i="1"/>
  <c r="AU563" i="1"/>
  <c r="AV563" i="1"/>
  <c r="AW563" i="1"/>
  <c r="AU564" i="1"/>
  <c r="AV564" i="1"/>
  <c r="AW564" i="1"/>
  <c r="AU565" i="1"/>
  <c r="AV565" i="1"/>
  <c r="AW565" i="1"/>
  <c r="AU566" i="1"/>
  <c r="AV566" i="1"/>
  <c r="AW566" i="1"/>
  <c r="AU567" i="1"/>
  <c r="AV567" i="1"/>
  <c r="AW567" i="1"/>
  <c r="AU568" i="1"/>
  <c r="AV568" i="1"/>
  <c r="AW568" i="1"/>
  <c r="AU569" i="1"/>
  <c r="AV569" i="1"/>
  <c r="AW569" i="1"/>
  <c r="AU570" i="1"/>
  <c r="AV570" i="1"/>
  <c r="AW570" i="1"/>
  <c r="AU571" i="1"/>
  <c r="AV571" i="1"/>
  <c r="AW571" i="1"/>
  <c r="AU572" i="1"/>
  <c r="AV572" i="1"/>
  <c r="AW572" i="1"/>
  <c r="AU573" i="1"/>
  <c r="AV573" i="1"/>
  <c r="AW573" i="1"/>
  <c r="AU574" i="1"/>
  <c r="AV574" i="1"/>
  <c r="AW574" i="1"/>
  <c r="AU575" i="1"/>
  <c r="AV575" i="1"/>
  <c r="AW575" i="1"/>
  <c r="AU576" i="1"/>
  <c r="AV576" i="1"/>
  <c r="AW576" i="1"/>
  <c r="AU577" i="1"/>
  <c r="AV577" i="1"/>
  <c r="AW577" i="1"/>
  <c r="AU578" i="1"/>
  <c r="AV578" i="1"/>
  <c r="AW578" i="1"/>
  <c r="AU579" i="1"/>
  <c r="AV579" i="1"/>
  <c r="AW579" i="1"/>
  <c r="AU580" i="1"/>
  <c r="AV580" i="1"/>
  <c r="AW580" i="1"/>
  <c r="AU581" i="1"/>
  <c r="AV581" i="1"/>
  <c r="AW581" i="1"/>
  <c r="AU582" i="1"/>
  <c r="AV582" i="1"/>
  <c r="AW582" i="1"/>
  <c r="AU583" i="1"/>
  <c r="AV583" i="1"/>
  <c r="AW583" i="1"/>
  <c r="AU584" i="1"/>
  <c r="AV584" i="1"/>
  <c r="AW584" i="1"/>
  <c r="AU585" i="1"/>
  <c r="AV585" i="1"/>
  <c r="AW585" i="1"/>
  <c r="AU586" i="1"/>
  <c r="AV586" i="1"/>
  <c r="AW586" i="1"/>
  <c r="AU587" i="1"/>
  <c r="AV587" i="1"/>
  <c r="AW587" i="1"/>
  <c r="AU588" i="1"/>
  <c r="AV588" i="1"/>
  <c r="AW588" i="1"/>
  <c r="AU589" i="1"/>
  <c r="AV589" i="1"/>
  <c r="AW589" i="1"/>
  <c r="AU590" i="1"/>
  <c r="AV590" i="1"/>
  <c r="AW590" i="1"/>
  <c r="AU591" i="1"/>
  <c r="AV591" i="1"/>
  <c r="AW591" i="1"/>
  <c r="AU592" i="1"/>
  <c r="AV592" i="1"/>
  <c r="AW592" i="1"/>
  <c r="AU593" i="1"/>
  <c r="AV593" i="1"/>
  <c r="AW593" i="1"/>
  <c r="AU594" i="1"/>
  <c r="AV594" i="1"/>
  <c r="AW594" i="1"/>
  <c r="AU595" i="1"/>
  <c r="AV595" i="1"/>
  <c r="AW595" i="1"/>
  <c r="AU596" i="1"/>
  <c r="AV596" i="1"/>
  <c r="AW596" i="1"/>
  <c r="AU597" i="1"/>
  <c r="AV597" i="1"/>
  <c r="AW597" i="1"/>
  <c r="AU598" i="1"/>
  <c r="AV598" i="1"/>
  <c r="AW598" i="1"/>
  <c r="AU599" i="1"/>
  <c r="AV599" i="1"/>
  <c r="AW599" i="1"/>
  <c r="AU600" i="1"/>
  <c r="AV600" i="1"/>
  <c r="AW600" i="1"/>
  <c r="AU601" i="1"/>
  <c r="AV601" i="1"/>
  <c r="AW601" i="1"/>
  <c r="AU602" i="1"/>
  <c r="AV602" i="1"/>
  <c r="AW602" i="1"/>
  <c r="AU603" i="1"/>
  <c r="AV603" i="1"/>
  <c r="AW603" i="1"/>
  <c r="AU604" i="1"/>
  <c r="AV604" i="1"/>
  <c r="AW604" i="1"/>
  <c r="AU605" i="1"/>
  <c r="AV605" i="1"/>
  <c r="AW605" i="1"/>
  <c r="AU606" i="1"/>
  <c r="AV606" i="1"/>
  <c r="AW606" i="1"/>
  <c r="AU607" i="1"/>
  <c r="AV607" i="1"/>
  <c r="AW607" i="1"/>
  <c r="AU608" i="1"/>
  <c r="AV608" i="1"/>
  <c r="AW608" i="1"/>
  <c r="AU609" i="1"/>
  <c r="AV609" i="1"/>
  <c r="AW609" i="1"/>
  <c r="AU610" i="1"/>
  <c r="AV610" i="1"/>
  <c r="AW610" i="1"/>
  <c r="AU611" i="1"/>
  <c r="AV611" i="1"/>
  <c r="AW611" i="1"/>
  <c r="AU612" i="1"/>
  <c r="AV612" i="1"/>
  <c r="AW612" i="1"/>
  <c r="AU613" i="1"/>
  <c r="AV613" i="1"/>
  <c r="AW613" i="1"/>
  <c r="AU614" i="1"/>
  <c r="AV614" i="1"/>
  <c r="AW614" i="1"/>
  <c r="AU615" i="1"/>
  <c r="AV615" i="1"/>
  <c r="AW615" i="1"/>
  <c r="AU616" i="1"/>
  <c r="AV616" i="1"/>
  <c r="AW616" i="1"/>
  <c r="AU617" i="1"/>
  <c r="AV617" i="1"/>
  <c r="AW617" i="1"/>
  <c r="AU618" i="1"/>
  <c r="AV618" i="1"/>
  <c r="AW618" i="1"/>
  <c r="AU619" i="1"/>
  <c r="AV619" i="1"/>
  <c r="AW619" i="1"/>
  <c r="AU620" i="1"/>
  <c r="AV620" i="1"/>
  <c r="AW620" i="1"/>
  <c r="AU621" i="1"/>
  <c r="AV621" i="1"/>
  <c r="AW621" i="1"/>
  <c r="AU622" i="1"/>
  <c r="AV622" i="1"/>
  <c r="AW622" i="1"/>
  <c r="AU623" i="1"/>
  <c r="AV623" i="1"/>
  <c r="AW623" i="1"/>
  <c r="AU624" i="1"/>
  <c r="AV624" i="1"/>
  <c r="AW624" i="1"/>
  <c r="AU625" i="1"/>
  <c r="AV625" i="1"/>
  <c r="AW625" i="1"/>
  <c r="AU626" i="1"/>
  <c r="AV626" i="1"/>
  <c r="AW626" i="1"/>
  <c r="AU627" i="1"/>
  <c r="AV627" i="1"/>
  <c r="AW627" i="1"/>
  <c r="AU628" i="1"/>
  <c r="AV628" i="1"/>
  <c r="AW628" i="1"/>
  <c r="AU629" i="1"/>
  <c r="AV629" i="1"/>
  <c r="AW629" i="1"/>
  <c r="AU630" i="1"/>
  <c r="AV630" i="1"/>
  <c r="AW630" i="1"/>
  <c r="AU631" i="1"/>
  <c r="AV631" i="1"/>
  <c r="AW631" i="1"/>
  <c r="AU632" i="1"/>
  <c r="AV632" i="1"/>
  <c r="AW632" i="1"/>
  <c r="AU633" i="1"/>
  <c r="AV633" i="1"/>
  <c r="AW633" i="1"/>
  <c r="AU634" i="1"/>
  <c r="AV634" i="1"/>
  <c r="AW634" i="1"/>
  <c r="AU635" i="1"/>
  <c r="AV635" i="1"/>
  <c r="AW635" i="1"/>
  <c r="AU636" i="1"/>
  <c r="AV636" i="1"/>
  <c r="AW636" i="1"/>
  <c r="AU637" i="1"/>
  <c r="AV637" i="1"/>
  <c r="AW637" i="1"/>
  <c r="AU638" i="1"/>
  <c r="AV638" i="1"/>
  <c r="AW638" i="1"/>
  <c r="AU639" i="1"/>
  <c r="AV639" i="1"/>
  <c r="AW639" i="1"/>
  <c r="AU640" i="1"/>
  <c r="AV640" i="1"/>
  <c r="AW640" i="1"/>
  <c r="AU641" i="1"/>
  <c r="AV641" i="1"/>
  <c r="AW641" i="1"/>
  <c r="AU642" i="1"/>
  <c r="AV642" i="1"/>
  <c r="AW642" i="1"/>
  <c r="AU643" i="1"/>
  <c r="AV643" i="1"/>
  <c r="AW643" i="1"/>
  <c r="AU644" i="1"/>
  <c r="AV644" i="1"/>
  <c r="AW644" i="1"/>
  <c r="AU645" i="1"/>
  <c r="AV645" i="1"/>
  <c r="AW645" i="1"/>
  <c r="AU646" i="1"/>
  <c r="AV646" i="1"/>
  <c r="AW646" i="1"/>
  <c r="AU647" i="1"/>
  <c r="AV647" i="1"/>
  <c r="AW647" i="1"/>
  <c r="AU648" i="1"/>
  <c r="AV648" i="1"/>
  <c r="AW648" i="1"/>
  <c r="AU649" i="1"/>
  <c r="AV649" i="1"/>
  <c r="AW649" i="1"/>
  <c r="AU650" i="1"/>
  <c r="AV650" i="1"/>
  <c r="AW650" i="1"/>
  <c r="AU651" i="1"/>
  <c r="AV651" i="1"/>
  <c r="AW651" i="1"/>
  <c r="AU652" i="1"/>
  <c r="AV652" i="1"/>
  <c r="AW652" i="1"/>
  <c r="AU653" i="1"/>
  <c r="AV653" i="1"/>
  <c r="AW653" i="1"/>
  <c r="AU654" i="1"/>
  <c r="AV654" i="1"/>
  <c r="AW654" i="1"/>
  <c r="AU655" i="1"/>
  <c r="AV655" i="1"/>
  <c r="AW655" i="1"/>
  <c r="AU656" i="1"/>
  <c r="AV656" i="1"/>
  <c r="AW656" i="1"/>
  <c r="AU657" i="1"/>
  <c r="AV657" i="1"/>
  <c r="AW657" i="1"/>
  <c r="AU658" i="1"/>
  <c r="AV658" i="1"/>
  <c r="AW658" i="1"/>
  <c r="AU659" i="1"/>
  <c r="AV659" i="1"/>
  <c r="AW659" i="1"/>
  <c r="AU660" i="1"/>
  <c r="AV660" i="1"/>
  <c r="AW660" i="1"/>
  <c r="AU661" i="1"/>
  <c r="AV661" i="1"/>
  <c r="AW661" i="1"/>
  <c r="AU662" i="1"/>
  <c r="AV662" i="1"/>
  <c r="AW662" i="1"/>
  <c r="AU663" i="1"/>
  <c r="AV663" i="1"/>
  <c r="AW663" i="1"/>
  <c r="AU664" i="1"/>
  <c r="AV664" i="1"/>
  <c r="AW664" i="1"/>
  <c r="AU665" i="1"/>
  <c r="AV665" i="1"/>
  <c r="AW665" i="1"/>
  <c r="AU666" i="1"/>
  <c r="AV666" i="1"/>
  <c r="AW666" i="1"/>
  <c r="AU667" i="1"/>
  <c r="AV667" i="1"/>
  <c r="AW667" i="1"/>
  <c r="AU668" i="1"/>
  <c r="AV668" i="1"/>
  <c r="AW668" i="1"/>
  <c r="AU669" i="1"/>
  <c r="AV669" i="1"/>
  <c r="AW669" i="1"/>
  <c r="AU670" i="1"/>
  <c r="AV670" i="1"/>
  <c r="AW670" i="1"/>
  <c r="AU671" i="1"/>
  <c r="AV671" i="1"/>
  <c r="AW671" i="1"/>
  <c r="AU672" i="1"/>
  <c r="AV672" i="1"/>
  <c r="AW672" i="1"/>
  <c r="AU673" i="1"/>
  <c r="AV673" i="1"/>
  <c r="AW673" i="1"/>
  <c r="AU674" i="1"/>
  <c r="AV674" i="1"/>
  <c r="AW674" i="1"/>
  <c r="AU675" i="1"/>
  <c r="AV675" i="1"/>
  <c r="AW675" i="1"/>
  <c r="AU676" i="1"/>
  <c r="AV676" i="1"/>
  <c r="AW676" i="1"/>
  <c r="AU677" i="1"/>
  <c r="AV677" i="1"/>
  <c r="AW677" i="1"/>
  <c r="AU678" i="1"/>
  <c r="AV678" i="1"/>
  <c r="AW678" i="1"/>
  <c r="AU679" i="1"/>
  <c r="AV679" i="1"/>
  <c r="AW679" i="1"/>
  <c r="AU680" i="1"/>
  <c r="AV680" i="1"/>
  <c r="AW680" i="1"/>
  <c r="AU681" i="1"/>
  <c r="AV681" i="1"/>
  <c r="AW681" i="1"/>
  <c r="AU682" i="1"/>
  <c r="AV682" i="1"/>
  <c r="AW682" i="1"/>
  <c r="AU683" i="1"/>
  <c r="AV683" i="1"/>
  <c r="AW683" i="1"/>
  <c r="AU684" i="1"/>
  <c r="AV684" i="1"/>
  <c r="AW684" i="1"/>
  <c r="AU685" i="1"/>
  <c r="AV685" i="1"/>
  <c r="AW685" i="1"/>
  <c r="AU686" i="1"/>
  <c r="AV686" i="1"/>
  <c r="AW686" i="1"/>
  <c r="AU687" i="1"/>
  <c r="AV687" i="1"/>
  <c r="AW687" i="1"/>
  <c r="AU688" i="1"/>
  <c r="AV688" i="1"/>
  <c r="AW688" i="1"/>
  <c r="AU689" i="1"/>
  <c r="AV689" i="1"/>
  <c r="AW689" i="1"/>
  <c r="AU690" i="1"/>
  <c r="AV690" i="1"/>
  <c r="AW690" i="1"/>
  <c r="AU691" i="1"/>
  <c r="AV691" i="1"/>
  <c r="AW691" i="1"/>
  <c r="AU692" i="1"/>
  <c r="AV692" i="1"/>
  <c r="AW692" i="1"/>
  <c r="AU693" i="1"/>
  <c r="AV693" i="1"/>
  <c r="AW693" i="1"/>
  <c r="AU694" i="1"/>
  <c r="AV694" i="1"/>
  <c r="AW694" i="1"/>
  <c r="AU695" i="1"/>
  <c r="AV695" i="1"/>
  <c r="AW695" i="1"/>
  <c r="AU696" i="1"/>
  <c r="AV696" i="1"/>
  <c r="AW696" i="1"/>
  <c r="AU697" i="1"/>
  <c r="AV697" i="1"/>
  <c r="AW697" i="1"/>
  <c r="AU698" i="1"/>
  <c r="AV698" i="1"/>
  <c r="AW698" i="1"/>
  <c r="AU699" i="1"/>
  <c r="AV699" i="1"/>
  <c r="AW699" i="1"/>
  <c r="AU700" i="1"/>
  <c r="AV700" i="1"/>
  <c r="AW700" i="1"/>
  <c r="AU701" i="1"/>
  <c r="AV701" i="1"/>
  <c r="AW701" i="1"/>
  <c r="AU702" i="1"/>
  <c r="AV702" i="1"/>
  <c r="AW702" i="1"/>
  <c r="AU703" i="1"/>
  <c r="AV703" i="1"/>
  <c r="AW703" i="1"/>
  <c r="AU704" i="1"/>
  <c r="AV704" i="1"/>
  <c r="AW704" i="1"/>
  <c r="AU705" i="1"/>
  <c r="AV705" i="1"/>
  <c r="AW705" i="1"/>
  <c r="AU706" i="1"/>
  <c r="AV706" i="1"/>
  <c r="AW706" i="1"/>
  <c r="AU707" i="1"/>
  <c r="AV707" i="1"/>
  <c r="AW707" i="1"/>
  <c r="AU708" i="1"/>
  <c r="AV708" i="1"/>
  <c r="AW708" i="1"/>
  <c r="AU709" i="1"/>
  <c r="AV709" i="1"/>
  <c r="AW709" i="1"/>
  <c r="AU710" i="1"/>
  <c r="AV710" i="1"/>
  <c r="AW710" i="1"/>
  <c r="AU711" i="1"/>
  <c r="AV711" i="1"/>
  <c r="AW711" i="1"/>
  <c r="AU712" i="1"/>
  <c r="AV712" i="1"/>
  <c r="AW712" i="1"/>
  <c r="AU713" i="1"/>
  <c r="AV713" i="1"/>
  <c r="AW713" i="1"/>
  <c r="AU714" i="1"/>
  <c r="AV714" i="1"/>
  <c r="AW714" i="1"/>
  <c r="AU715" i="1"/>
  <c r="AV715" i="1"/>
  <c r="AW715" i="1"/>
  <c r="AU716" i="1"/>
  <c r="AV716" i="1"/>
  <c r="AW716" i="1"/>
  <c r="AU717" i="1"/>
  <c r="AV717" i="1"/>
  <c r="AW717" i="1"/>
  <c r="AU718" i="1"/>
  <c r="AV718" i="1"/>
  <c r="AW718" i="1"/>
  <c r="AU719" i="1"/>
  <c r="AV719" i="1"/>
  <c r="AW719" i="1"/>
  <c r="AU720" i="1"/>
  <c r="AV720" i="1"/>
  <c r="AW720" i="1"/>
  <c r="AU721" i="1"/>
  <c r="AV721" i="1"/>
  <c r="AW721" i="1"/>
  <c r="AU722" i="1"/>
  <c r="AV722" i="1"/>
  <c r="AW722" i="1"/>
  <c r="AU723" i="1"/>
  <c r="AV723" i="1"/>
  <c r="AW723" i="1"/>
  <c r="AU724" i="1"/>
  <c r="AV724" i="1"/>
  <c r="AW724" i="1"/>
  <c r="AU725" i="1"/>
  <c r="AV725" i="1"/>
  <c r="AW725" i="1"/>
  <c r="AU726" i="1"/>
  <c r="AV726" i="1"/>
  <c r="AW726" i="1"/>
  <c r="AU727" i="1"/>
  <c r="AV727" i="1"/>
  <c r="AW727" i="1"/>
  <c r="AU728" i="1"/>
  <c r="AV728" i="1"/>
  <c r="AW728" i="1"/>
  <c r="AU729" i="1"/>
  <c r="AV729" i="1"/>
  <c r="AW729" i="1"/>
  <c r="AU730" i="1"/>
  <c r="AV730" i="1"/>
  <c r="AW730" i="1"/>
  <c r="AU731" i="1"/>
  <c r="AV731" i="1"/>
  <c r="AW731" i="1"/>
  <c r="AU732" i="1"/>
  <c r="AV732" i="1"/>
  <c r="AW732" i="1"/>
  <c r="AU733" i="1"/>
  <c r="AV733" i="1"/>
  <c r="AW733" i="1"/>
  <c r="AU734" i="1"/>
  <c r="AV734" i="1"/>
  <c r="AW734" i="1"/>
  <c r="AU735" i="1"/>
  <c r="AV735" i="1"/>
  <c r="AW735" i="1"/>
  <c r="AU736" i="1"/>
  <c r="AV736" i="1"/>
  <c r="AW736" i="1"/>
  <c r="AU737" i="1"/>
  <c r="AV737" i="1"/>
  <c r="AW737" i="1"/>
  <c r="AU738" i="1"/>
  <c r="AV738" i="1"/>
  <c r="AW738" i="1"/>
  <c r="AU739" i="1"/>
  <c r="AV739" i="1"/>
  <c r="AW739" i="1"/>
  <c r="AU740" i="1"/>
  <c r="AV740" i="1"/>
  <c r="AW740" i="1"/>
  <c r="AU741" i="1"/>
  <c r="AV741" i="1"/>
  <c r="AW741" i="1"/>
  <c r="AU742" i="1"/>
  <c r="AV742" i="1"/>
  <c r="AW742" i="1"/>
  <c r="AU743" i="1"/>
  <c r="AV743" i="1"/>
  <c r="AW743" i="1"/>
  <c r="AU744" i="1"/>
  <c r="AV744" i="1"/>
  <c r="AW744" i="1"/>
  <c r="AU745" i="1"/>
  <c r="AV745" i="1"/>
  <c r="AW745" i="1"/>
  <c r="AU746" i="1"/>
  <c r="AV746" i="1"/>
  <c r="AW746" i="1"/>
  <c r="AU747" i="1"/>
  <c r="AV747" i="1"/>
  <c r="AW747" i="1"/>
  <c r="AU748" i="1"/>
  <c r="AV748" i="1"/>
  <c r="AW748" i="1"/>
  <c r="AU749" i="1"/>
  <c r="AV749" i="1"/>
  <c r="AW749" i="1"/>
  <c r="AU750" i="1"/>
  <c r="AV750" i="1"/>
  <c r="AW750" i="1"/>
  <c r="AU751" i="1"/>
  <c r="AV751" i="1"/>
  <c r="AW751" i="1"/>
  <c r="AU752" i="1"/>
  <c r="AV752" i="1"/>
  <c r="AW752" i="1"/>
  <c r="AU753" i="1"/>
  <c r="AV753" i="1"/>
  <c r="AW753" i="1"/>
  <c r="AU754" i="1"/>
  <c r="AV754" i="1"/>
  <c r="AW754" i="1"/>
  <c r="AU755" i="1"/>
  <c r="AV755" i="1"/>
  <c r="AW755" i="1"/>
  <c r="AU756" i="1"/>
  <c r="AV756" i="1"/>
  <c r="AW756" i="1"/>
  <c r="AU757" i="1"/>
  <c r="AV757" i="1"/>
  <c r="AW757" i="1"/>
  <c r="AU758" i="1"/>
  <c r="AV758" i="1"/>
  <c r="AW758" i="1"/>
  <c r="AU759" i="1"/>
  <c r="AV759" i="1"/>
  <c r="AW759" i="1"/>
  <c r="AU760" i="1"/>
  <c r="AV760" i="1"/>
  <c r="AW760" i="1"/>
  <c r="AU761" i="1"/>
  <c r="AV761" i="1"/>
  <c r="AW761" i="1"/>
  <c r="AU762" i="1"/>
  <c r="AV762" i="1"/>
  <c r="AW762" i="1"/>
  <c r="AU763" i="1"/>
  <c r="AV763" i="1"/>
  <c r="AW763" i="1"/>
  <c r="AU764" i="1"/>
  <c r="AV764" i="1"/>
  <c r="AW764" i="1"/>
  <c r="AU765" i="1"/>
  <c r="AV765" i="1"/>
  <c r="AW765" i="1"/>
  <c r="AU766" i="1"/>
  <c r="AV766" i="1"/>
  <c r="AW766" i="1"/>
  <c r="AU767" i="1"/>
  <c r="AV767" i="1"/>
  <c r="AW767" i="1"/>
  <c r="AU768" i="1"/>
  <c r="AV768" i="1"/>
  <c r="AW768" i="1"/>
  <c r="AU769" i="1"/>
  <c r="AV769" i="1"/>
  <c r="AW769" i="1"/>
  <c r="AU770" i="1"/>
  <c r="AV770" i="1"/>
  <c r="AW770" i="1"/>
  <c r="AU771" i="1"/>
  <c r="AV771" i="1"/>
  <c r="AW771" i="1"/>
  <c r="AU772" i="1"/>
  <c r="AV772" i="1"/>
  <c r="AW772" i="1"/>
  <c r="AU773" i="1"/>
  <c r="AV773" i="1"/>
  <c r="AW773" i="1"/>
  <c r="AU774" i="1"/>
  <c r="AV774" i="1"/>
  <c r="AW774" i="1"/>
  <c r="AU775" i="1"/>
  <c r="AV775" i="1"/>
  <c r="AW775" i="1"/>
  <c r="AU776" i="1"/>
  <c r="AV776" i="1"/>
  <c r="AW776" i="1"/>
  <c r="AU777" i="1"/>
  <c r="AV777" i="1"/>
  <c r="AW777" i="1"/>
  <c r="AU778" i="1"/>
  <c r="AV778" i="1"/>
  <c r="AW778" i="1"/>
  <c r="AU779" i="1"/>
  <c r="AV779" i="1"/>
  <c r="AW779" i="1"/>
  <c r="AU780" i="1"/>
  <c r="AV780" i="1"/>
  <c r="AW780" i="1"/>
  <c r="AU781" i="1"/>
  <c r="AV781" i="1"/>
  <c r="AW781" i="1"/>
  <c r="AU782" i="1"/>
  <c r="AV782" i="1"/>
  <c r="AW782" i="1"/>
  <c r="AU783" i="1"/>
  <c r="AV783" i="1"/>
  <c r="AW783" i="1"/>
  <c r="AU784" i="1"/>
  <c r="AV784" i="1"/>
  <c r="AW784" i="1"/>
  <c r="AU785" i="1"/>
  <c r="AV785" i="1"/>
  <c r="AW785" i="1"/>
  <c r="AU786" i="1"/>
  <c r="AV786" i="1"/>
  <c r="AW786" i="1"/>
  <c r="AU787" i="1"/>
  <c r="AV787" i="1"/>
  <c r="AW787" i="1"/>
  <c r="AU788" i="1"/>
  <c r="AV788" i="1"/>
  <c r="AW788" i="1"/>
  <c r="AU789" i="1"/>
  <c r="AV789" i="1"/>
  <c r="AW789" i="1"/>
  <c r="AU790" i="1"/>
  <c r="AV790" i="1"/>
  <c r="AW790" i="1"/>
  <c r="AU791" i="1"/>
  <c r="AV791" i="1"/>
  <c r="AW791" i="1"/>
  <c r="AU792" i="1"/>
  <c r="AV792" i="1"/>
  <c r="AW792" i="1"/>
  <c r="AU793" i="1"/>
  <c r="AV793" i="1"/>
  <c r="AW793" i="1"/>
  <c r="AU794" i="1"/>
  <c r="AV794" i="1"/>
  <c r="AW794" i="1"/>
  <c r="AU795" i="1"/>
  <c r="AV795" i="1"/>
  <c r="AW795" i="1"/>
  <c r="AU796" i="1"/>
  <c r="AV796" i="1"/>
  <c r="AW796" i="1"/>
  <c r="AU797" i="1"/>
  <c r="AV797" i="1"/>
  <c r="AW797" i="1"/>
  <c r="AU798" i="1"/>
  <c r="AV798" i="1"/>
  <c r="AW798" i="1"/>
  <c r="AU799" i="1"/>
  <c r="AV799" i="1"/>
  <c r="AW799" i="1"/>
  <c r="AU800" i="1"/>
  <c r="AV800" i="1"/>
  <c r="AW800" i="1"/>
  <c r="AU801" i="1"/>
  <c r="AV801" i="1"/>
  <c r="AW801" i="1"/>
  <c r="AU802" i="1"/>
  <c r="AV802" i="1"/>
  <c r="AW802" i="1"/>
  <c r="AU803" i="1"/>
  <c r="AV803" i="1"/>
  <c r="AW803" i="1"/>
  <c r="AU804" i="1"/>
  <c r="AV804" i="1"/>
  <c r="AW804" i="1"/>
  <c r="AU805" i="1"/>
  <c r="AV805" i="1"/>
  <c r="AW805" i="1"/>
  <c r="AU806" i="1"/>
  <c r="AV806" i="1"/>
  <c r="AW806" i="1"/>
  <c r="AU807" i="1"/>
  <c r="AV807" i="1"/>
  <c r="AW807" i="1"/>
  <c r="AU808" i="1"/>
  <c r="AV808" i="1"/>
  <c r="AW808" i="1"/>
  <c r="AU809" i="1"/>
  <c r="AV809" i="1"/>
  <c r="AW809" i="1"/>
  <c r="AU810" i="1"/>
  <c r="AV810" i="1"/>
  <c r="AW810" i="1"/>
  <c r="AU811" i="1"/>
  <c r="AV811" i="1"/>
  <c r="AW811" i="1"/>
  <c r="AU812" i="1"/>
  <c r="AV812" i="1"/>
  <c r="AW812" i="1"/>
  <c r="AU813" i="1"/>
  <c r="AV813" i="1"/>
  <c r="AW813" i="1"/>
  <c r="AU814" i="1"/>
  <c r="AV814" i="1"/>
  <c r="AW814" i="1"/>
  <c r="AU815" i="1"/>
  <c r="AV815" i="1"/>
  <c r="AW815" i="1"/>
  <c r="AU816" i="1"/>
  <c r="AV816" i="1"/>
  <c r="AW816" i="1"/>
  <c r="AU817" i="1"/>
  <c r="AV817" i="1"/>
  <c r="AW817" i="1"/>
  <c r="AU818" i="1"/>
  <c r="AV818" i="1"/>
  <c r="AW818" i="1"/>
  <c r="AU819" i="1"/>
  <c r="AV819" i="1"/>
  <c r="AW819" i="1"/>
  <c r="AU820" i="1"/>
  <c r="AV820" i="1"/>
  <c r="AW820" i="1"/>
  <c r="AU821" i="1"/>
  <c r="AV821" i="1"/>
  <c r="AW821" i="1"/>
  <c r="AU822" i="1"/>
  <c r="AV822" i="1"/>
  <c r="AW822" i="1"/>
  <c r="AU823" i="1"/>
  <c r="AV823" i="1"/>
  <c r="AW823" i="1"/>
  <c r="AU824" i="1"/>
  <c r="AV824" i="1"/>
  <c r="AW824" i="1"/>
  <c r="AU825" i="1"/>
  <c r="AV825" i="1"/>
  <c r="AW825" i="1"/>
  <c r="AU826" i="1"/>
  <c r="AV826" i="1"/>
  <c r="AW826" i="1"/>
  <c r="AU827" i="1"/>
  <c r="AV827" i="1"/>
  <c r="AW827" i="1"/>
  <c r="AU828" i="1"/>
  <c r="AV828" i="1"/>
  <c r="AW828" i="1"/>
  <c r="AU829" i="1"/>
  <c r="AV829" i="1"/>
  <c r="AW829" i="1"/>
  <c r="AU830" i="1"/>
  <c r="AV830" i="1"/>
  <c r="AW830" i="1"/>
  <c r="AU831" i="1"/>
  <c r="AV831" i="1"/>
  <c r="AW831" i="1"/>
  <c r="AU832" i="1"/>
  <c r="AV832" i="1"/>
  <c r="AW832" i="1"/>
  <c r="AU833" i="1"/>
  <c r="AV833" i="1"/>
  <c r="AW833" i="1"/>
  <c r="AU834" i="1"/>
  <c r="AV834" i="1"/>
  <c r="AW834" i="1"/>
  <c r="AU835" i="1"/>
  <c r="AV835" i="1"/>
  <c r="AW835" i="1"/>
  <c r="AU836" i="1"/>
  <c r="AV836" i="1"/>
  <c r="AW836" i="1"/>
  <c r="AU837" i="1"/>
  <c r="AV837" i="1"/>
  <c r="AW837" i="1"/>
  <c r="AU838" i="1"/>
  <c r="AV838" i="1"/>
  <c r="AW838" i="1"/>
  <c r="AU839" i="1"/>
  <c r="AV839" i="1"/>
  <c r="AW839" i="1"/>
  <c r="AU840" i="1"/>
  <c r="AV840" i="1"/>
  <c r="AW840" i="1"/>
  <c r="AU841" i="1"/>
  <c r="AV841" i="1"/>
  <c r="AW841" i="1"/>
  <c r="AU842" i="1"/>
  <c r="AV842" i="1"/>
  <c r="AW842" i="1"/>
  <c r="AU843" i="1"/>
  <c r="AV843" i="1"/>
  <c r="AW843" i="1"/>
  <c r="AU844" i="1"/>
  <c r="AV844" i="1"/>
  <c r="AW844" i="1"/>
  <c r="AU845" i="1"/>
  <c r="AV845" i="1"/>
  <c r="AW845" i="1"/>
  <c r="AU846" i="1"/>
  <c r="AV846" i="1"/>
  <c r="AW846" i="1"/>
  <c r="AU847" i="1"/>
  <c r="AV847" i="1"/>
  <c r="AW847" i="1"/>
  <c r="AU848" i="1"/>
  <c r="AV848" i="1"/>
  <c r="AW848" i="1"/>
  <c r="AU849" i="1"/>
  <c r="AV849" i="1"/>
  <c r="AW849" i="1"/>
  <c r="AU850" i="1"/>
  <c r="AV850" i="1"/>
  <c r="AW850" i="1"/>
  <c r="AU851" i="1"/>
  <c r="AV851" i="1"/>
  <c r="AW851" i="1"/>
  <c r="AU852" i="1"/>
  <c r="AV852" i="1"/>
  <c r="AW852" i="1"/>
  <c r="AU853" i="1"/>
  <c r="AV853" i="1"/>
  <c r="AW853" i="1"/>
  <c r="AU854" i="1"/>
  <c r="AV854" i="1"/>
  <c r="AW854" i="1"/>
  <c r="AU855" i="1"/>
  <c r="AV855" i="1"/>
  <c r="AW855" i="1"/>
  <c r="AU856" i="1"/>
  <c r="AV856" i="1"/>
  <c r="AW856" i="1"/>
  <c r="AU857" i="1"/>
  <c r="AV857" i="1"/>
  <c r="AW857" i="1"/>
  <c r="AU858" i="1"/>
  <c r="AV858" i="1"/>
  <c r="AW858" i="1"/>
  <c r="AU859" i="1"/>
  <c r="AV859" i="1"/>
  <c r="AW859" i="1"/>
  <c r="AU860" i="1"/>
  <c r="AV860" i="1"/>
  <c r="AW860" i="1"/>
  <c r="AU861" i="1"/>
  <c r="AV861" i="1"/>
  <c r="AW861" i="1"/>
  <c r="AU862" i="1"/>
  <c r="AV862" i="1"/>
  <c r="AW862" i="1"/>
  <c r="AU863" i="1"/>
  <c r="AV863" i="1"/>
  <c r="AW863" i="1"/>
  <c r="AU864" i="1"/>
  <c r="AV864" i="1"/>
  <c r="AW864" i="1"/>
  <c r="AU865" i="1"/>
  <c r="AV865" i="1"/>
  <c r="AW865" i="1"/>
  <c r="AU866" i="1"/>
  <c r="AV866" i="1"/>
  <c r="AW866" i="1"/>
  <c r="AU867" i="1"/>
  <c r="AV867" i="1"/>
  <c r="AW867" i="1"/>
  <c r="AU868" i="1"/>
  <c r="AV868" i="1"/>
  <c r="AW868" i="1"/>
  <c r="AU869" i="1"/>
  <c r="AV869" i="1"/>
  <c r="AW869" i="1"/>
  <c r="AU870" i="1"/>
  <c r="AV870" i="1"/>
  <c r="AW870" i="1"/>
  <c r="AU871" i="1"/>
  <c r="AV871" i="1"/>
  <c r="AW871" i="1"/>
  <c r="AU872" i="1"/>
  <c r="AV872" i="1"/>
  <c r="AW872" i="1"/>
  <c r="AU873" i="1"/>
  <c r="AV873" i="1"/>
  <c r="AW873" i="1"/>
  <c r="AU874" i="1"/>
  <c r="AV874" i="1"/>
  <c r="AW874" i="1"/>
  <c r="AU875" i="1"/>
  <c r="AV875" i="1"/>
  <c r="AW875" i="1"/>
  <c r="AU876" i="1"/>
  <c r="AV876" i="1"/>
  <c r="AW876" i="1"/>
  <c r="AU877" i="1"/>
  <c r="AV877" i="1"/>
  <c r="AW877" i="1"/>
  <c r="AU878" i="1"/>
  <c r="AV878" i="1"/>
  <c r="AW878" i="1"/>
  <c r="AU879" i="1"/>
  <c r="AV879" i="1"/>
  <c r="AW879" i="1"/>
  <c r="AU880" i="1"/>
  <c r="AV880" i="1"/>
  <c r="AW880" i="1"/>
  <c r="AU881" i="1"/>
  <c r="AV881" i="1"/>
  <c r="AW881" i="1"/>
  <c r="AU882" i="1"/>
  <c r="AV882" i="1"/>
  <c r="AW882" i="1"/>
  <c r="AU883" i="1"/>
  <c r="AV883" i="1"/>
  <c r="AW883" i="1"/>
  <c r="AU884" i="1"/>
  <c r="AV884" i="1"/>
  <c r="AW884" i="1"/>
  <c r="AU885" i="1"/>
  <c r="AV885" i="1"/>
  <c r="AW885" i="1"/>
  <c r="AU886" i="1"/>
  <c r="AV886" i="1"/>
  <c r="AW886" i="1"/>
  <c r="AU887" i="1"/>
  <c r="AV887" i="1"/>
  <c r="AW887" i="1"/>
  <c r="AU888" i="1"/>
  <c r="AV888" i="1"/>
  <c r="AW888" i="1"/>
  <c r="AU889" i="1"/>
  <c r="AV889" i="1"/>
  <c r="AW889" i="1"/>
  <c r="AU890" i="1"/>
  <c r="AV890" i="1"/>
  <c r="AW890" i="1"/>
  <c r="AU891" i="1"/>
  <c r="AV891" i="1"/>
  <c r="AW891" i="1"/>
  <c r="AU892" i="1"/>
  <c r="AV892" i="1"/>
  <c r="AW892" i="1"/>
  <c r="AU893" i="1"/>
  <c r="AV893" i="1"/>
  <c r="AW893" i="1"/>
  <c r="AU894" i="1"/>
  <c r="AV894" i="1"/>
  <c r="AW894" i="1"/>
  <c r="AU895" i="1"/>
  <c r="AV895" i="1"/>
  <c r="AW895" i="1"/>
  <c r="AU896" i="1"/>
  <c r="AV896" i="1"/>
  <c r="AW896" i="1"/>
  <c r="AU897" i="1"/>
  <c r="AV897" i="1"/>
  <c r="AW897" i="1"/>
  <c r="AU898" i="1"/>
  <c r="AV898" i="1"/>
  <c r="AW898" i="1"/>
  <c r="AU899" i="1"/>
  <c r="AV899" i="1"/>
  <c r="AW899" i="1"/>
  <c r="AU900" i="1"/>
  <c r="AV900" i="1"/>
  <c r="AW900" i="1"/>
  <c r="AU901" i="1"/>
  <c r="AV901" i="1"/>
  <c r="AW901" i="1"/>
  <c r="AU902" i="1"/>
  <c r="AV902" i="1"/>
  <c r="AW902" i="1"/>
  <c r="AU903" i="1"/>
  <c r="AV903" i="1"/>
  <c r="AW903" i="1"/>
  <c r="AU904" i="1"/>
  <c r="AV904" i="1"/>
  <c r="AW904" i="1"/>
  <c r="AU905" i="1"/>
  <c r="AV905" i="1"/>
  <c r="AW905" i="1"/>
  <c r="AU906" i="1"/>
  <c r="AV906" i="1"/>
  <c r="AW906" i="1"/>
  <c r="AU907" i="1"/>
  <c r="AV907" i="1"/>
  <c r="AW907" i="1"/>
  <c r="AU908" i="1"/>
  <c r="AV908" i="1"/>
  <c r="AW908" i="1"/>
  <c r="AU909" i="1"/>
  <c r="AV909" i="1"/>
  <c r="AW909" i="1"/>
  <c r="AU910" i="1"/>
  <c r="AV910" i="1"/>
  <c r="AW910" i="1"/>
  <c r="AU911" i="1"/>
  <c r="AV911" i="1"/>
  <c r="AW911" i="1"/>
  <c r="AU912" i="1"/>
  <c r="AV912" i="1"/>
  <c r="AW912" i="1"/>
  <c r="AU913" i="1"/>
  <c r="AV913" i="1"/>
  <c r="AW913" i="1"/>
  <c r="AU914" i="1"/>
  <c r="AV914" i="1"/>
  <c r="AW914" i="1"/>
  <c r="AU915" i="1"/>
  <c r="AV915" i="1"/>
  <c r="AW915" i="1"/>
  <c r="AU916" i="1"/>
  <c r="AV916" i="1"/>
  <c r="AW916" i="1"/>
  <c r="AU917" i="1"/>
  <c r="AV917" i="1"/>
  <c r="AW917" i="1"/>
  <c r="AU918" i="1"/>
  <c r="AV918" i="1"/>
  <c r="AW918" i="1"/>
  <c r="AU919" i="1"/>
  <c r="AV919" i="1"/>
  <c r="AW919" i="1"/>
  <c r="AU920" i="1"/>
  <c r="AV920" i="1"/>
  <c r="AW920" i="1"/>
  <c r="AU921" i="1"/>
  <c r="AV921" i="1"/>
  <c r="AW921" i="1"/>
  <c r="AU922" i="1"/>
  <c r="AV922" i="1"/>
  <c r="AW922" i="1"/>
  <c r="AU923" i="1"/>
  <c r="AV923" i="1"/>
  <c r="AW923" i="1"/>
  <c r="AU924" i="1"/>
  <c r="AV924" i="1"/>
  <c r="AW924" i="1"/>
  <c r="AU925" i="1"/>
  <c r="AV925" i="1"/>
  <c r="AW925" i="1"/>
  <c r="AU926" i="1"/>
  <c r="AV926" i="1"/>
  <c r="AW926" i="1"/>
  <c r="AU927" i="1"/>
  <c r="AV927" i="1"/>
  <c r="AW927" i="1"/>
  <c r="AU928" i="1"/>
  <c r="AV928" i="1"/>
  <c r="AW928" i="1"/>
  <c r="AU929" i="1"/>
  <c r="AV929" i="1"/>
  <c r="AW929" i="1"/>
  <c r="AU930" i="1"/>
  <c r="AV930" i="1"/>
  <c r="AW930" i="1"/>
  <c r="AU931" i="1"/>
  <c r="AV931" i="1"/>
  <c r="AW931" i="1"/>
  <c r="AU932" i="1"/>
  <c r="AV932" i="1"/>
  <c r="AW932" i="1"/>
  <c r="AU933" i="1"/>
  <c r="AV933" i="1"/>
  <c r="AW933" i="1"/>
  <c r="AU934" i="1"/>
  <c r="AV934" i="1"/>
  <c r="AW934" i="1"/>
  <c r="AU935" i="1"/>
  <c r="AV935" i="1"/>
  <c r="AW935" i="1"/>
  <c r="AU936" i="1"/>
  <c r="AV936" i="1"/>
  <c r="AW936" i="1"/>
  <c r="AU937" i="1"/>
  <c r="AV937" i="1"/>
  <c r="AW937" i="1"/>
  <c r="AU938" i="1"/>
  <c r="AV938" i="1"/>
  <c r="AW938" i="1"/>
  <c r="AU939" i="1"/>
  <c r="AV939" i="1"/>
  <c r="AW939" i="1"/>
  <c r="AU940" i="1"/>
  <c r="AV940" i="1"/>
  <c r="AW940" i="1"/>
  <c r="AU941" i="1"/>
  <c r="AV941" i="1"/>
  <c r="AW941" i="1"/>
  <c r="AU942" i="1"/>
  <c r="AV942" i="1"/>
  <c r="AW942" i="1"/>
  <c r="AU943" i="1"/>
  <c r="AV943" i="1"/>
  <c r="AW943" i="1"/>
  <c r="AU944" i="1"/>
  <c r="AV944" i="1"/>
  <c r="AW944" i="1"/>
  <c r="AU945" i="1"/>
  <c r="AV945" i="1"/>
  <c r="AW945" i="1"/>
  <c r="AU946" i="1"/>
  <c r="AV946" i="1"/>
  <c r="AW946" i="1"/>
  <c r="AU947" i="1"/>
  <c r="AV947" i="1"/>
  <c r="AW947" i="1"/>
  <c r="AU948" i="1"/>
  <c r="AV948" i="1"/>
  <c r="AW948" i="1"/>
  <c r="AU949" i="1"/>
  <c r="AV949" i="1"/>
  <c r="AW949" i="1"/>
  <c r="AU950" i="1"/>
  <c r="AV950" i="1"/>
  <c r="AW950" i="1"/>
  <c r="AU951" i="1"/>
  <c r="AV951" i="1"/>
  <c r="AW951" i="1"/>
  <c r="AU952" i="1"/>
  <c r="AV952" i="1"/>
  <c r="AW952" i="1"/>
  <c r="AU953" i="1"/>
  <c r="AV953" i="1"/>
  <c r="AW953" i="1"/>
  <c r="AU954" i="1"/>
  <c r="AV954" i="1"/>
  <c r="AW954" i="1"/>
  <c r="AU955" i="1"/>
  <c r="AV955" i="1"/>
  <c r="AW955" i="1"/>
  <c r="AU956" i="1"/>
  <c r="AV956" i="1"/>
  <c r="AW956" i="1"/>
  <c r="AU957" i="1"/>
  <c r="AV957" i="1"/>
  <c r="AW957" i="1"/>
  <c r="AU958" i="1"/>
  <c r="AV958" i="1"/>
  <c r="AW958" i="1"/>
  <c r="AU959" i="1"/>
  <c r="AV959" i="1"/>
  <c r="AW959" i="1"/>
  <c r="AU960" i="1"/>
  <c r="AV960" i="1"/>
  <c r="AW960" i="1"/>
  <c r="AU961" i="1"/>
  <c r="AV961" i="1"/>
  <c r="AW961" i="1"/>
  <c r="AU962" i="1"/>
  <c r="AV962" i="1"/>
  <c r="AW962" i="1"/>
  <c r="AU963" i="1"/>
  <c r="AV963" i="1"/>
  <c r="AW963" i="1"/>
  <c r="AU964" i="1"/>
  <c r="AV964" i="1"/>
  <c r="AW964" i="1"/>
  <c r="AU965" i="1"/>
  <c r="AV965" i="1"/>
  <c r="AW965" i="1"/>
  <c r="AU966" i="1"/>
  <c r="AV966" i="1"/>
  <c r="AW966" i="1"/>
  <c r="AU967" i="1"/>
  <c r="AV967" i="1"/>
  <c r="AW967" i="1"/>
  <c r="AU968" i="1"/>
  <c r="AV968" i="1"/>
  <c r="AW968" i="1"/>
  <c r="AU969" i="1"/>
  <c r="AV969" i="1"/>
  <c r="AW969" i="1"/>
  <c r="AU970" i="1"/>
  <c r="AV970" i="1"/>
  <c r="AW970" i="1"/>
  <c r="AU971" i="1"/>
  <c r="AV971" i="1"/>
  <c r="AW971" i="1"/>
  <c r="AU972" i="1"/>
  <c r="AV972" i="1"/>
  <c r="AW972" i="1"/>
  <c r="AU973" i="1"/>
  <c r="AV973" i="1"/>
  <c r="AW973" i="1"/>
  <c r="AU974" i="1"/>
  <c r="AV974" i="1"/>
  <c r="AW974" i="1"/>
  <c r="AU975" i="1"/>
  <c r="AV975" i="1"/>
  <c r="AW975" i="1"/>
  <c r="AU976" i="1"/>
  <c r="AV976" i="1"/>
  <c r="AW976" i="1"/>
  <c r="AU977" i="1"/>
  <c r="AV977" i="1"/>
  <c r="AW977" i="1"/>
  <c r="AU978" i="1"/>
  <c r="AV978" i="1"/>
  <c r="AW978" i="1"/>
  <c r="AU979" i="1"/>
  <c r="AV979" i="1"/>
  <c r="AW979" i="1"/>
  <c r="AU980" i="1"/>
  <c r="AV980" i="1"/>
  <c r="AW980" i="1"/>
  <c r="AU981" i="1"/>
  <c r="AV981" i="1"/>
  <c r="AW981" i="1"/>
  <c r="AU982" i="1"/>
  <c r="AV982" i="1"/>
  <c r="AW982" i="1"/>
  <c r="AU983" i="1"/>
  <c r="AV983" i="1"/>
  <c r="AW983" i="1"/>
  <c r="AU984" i="1"/>
  <c r="AV984" i="1"/>
  <c r="AW984" i="1"/>
  <c r="AU985" i="1"/>
  <c r="AV985" i="1"/>
  <c r="AW985" i="1"/>
  <c r="AU986" i="1"/>
  <c r="AV986" i="1"/>
  <c r="AW986" i="1"/>
  <c r="AU987" i="1"/>
  <c r="AV987" i="1"/>
  <c r="AW987" i="1"/>
  <c r="AU988" i="1"/>
  <c r="AV988" i="1"/>
  <c r="AW988" i="1"/>
  <c r="AU989" i="1"/>
  <c r="AV989" i="1"/>
  <c r="AW989" i="1"/>
  <c r="AU990" i="1"/>
  <c r="AV990" i="1"/>
  <c r="AW990" i="1"/>
  <c r="AU991" i="1"/>
  <c r="AV991" i="1"/>
  <c r="AW991" i="1"/>
  <c r="AU992" i="1"/>
  <c r="AV992" i="1"/>
  <c r="AW992" i="1"/>
  <c r="AU993" i="1"/>
  <c r="AV993" i="1"/>
  <c r="AW993" i="1"/>
  <c r="AU994" i="1"/>
  <c r="AV994" i="1"/>
  <c r="AW994" i="1"/>
  <c r="AU995" i="1"/>
  <c r="AV995" i="1"/>
  <c r="AW995" i="1"/>
  <c r="AU996" i="1"/>
  <c r="AV996" i="1"/>
  <c r="AW996" i="1"/>
  <c r="AU997" i="1"/>
  <c r="AV997" i="1"/>
  <c r="AW997" i="1"/>
  <c r="AU998" i="1"/>
  <c r="AV998" i="1"/>
  <c r="AW998" i="1"/>
  <c r="AU999" i="1"/>
  <c r="AV999" i="1"/>
  <c r="AW999" i="1"/>
  <c r="AU1000" i="1"/>
  <c r="AV1000" i="1"/>
  <c r="AW1000" i="1"/>
  <c r="AU1001" i="1"/>
  <c r="AV1001" i="1"/>
  <c r="AW1001" i="1"/>
  <c r="AU1002" i="1"/>
  <c r="AV1002" i="1"/>
  <c r="AW1002" i="1"/>
  <c r="AU1003" i="1"/>
  <c r="AV1003" i="1"/>
  <c r="AW1003" i="1"/>
  <c r="AU1004" i="1"/>
  <c r="AV1004" i="1"/>
  <c r="AW1004" i="1"/>
  <c r="AU1005" i="1"/>
  <c r="AV1005" i="1"/>
  <c r="AW1005" i="1"/>
  <c r="AU1006" i="1"/>
  <c r="AV1006" i="1"/>
  <c r="AW1006" i="1"/>
  <c r="AU1007" i="1"/>
  <c r="AV1007" i="1"/>
  <c r="AW1007" i="1"/>
  <c r="AU1008" i="1"/>
  <c r="AV1008" i="1"/>
  <c r="AW1008" i="1"/>
  <c r="AU1009" i="1"/>
  <c r="AV1009" i="1"/>
  <c r="AW1009" i="1"/>
  <c r="AU1010" i="1"/>
  <c r="AV1010" i="1"/>
  <c r="AW1010" i="1"/>
  <c r="AU1011" i="1"/>
  <c r="AV1011" i="1"/>
  <c r="AW1011" i="1"/>
  <c r="AU1012" i="1"/>
  <c r="AV1012" i="1"/>
  <c r="AW1012" i="1"/>
  <c r="AU1013" i="1"/>
  <c r="AV1013" i="1"/>
  <c r="AW1013" i="1"/>
  <c r="AU1014" i="1"/>
  <c r="AV1014" i="1"/>
  <c r="AW1014" i="1"/>
  <c r="AU1015" i="1"/>
  <c r="AV1015" i="1"/>
  <c r="AW1015" i="1"/>
  <c r="AU1016" i="1"/>
  <c r="AV1016" i="1"/>
  <c r="AW1016" i="1"/>
  <c r="AU1017" i="1"/>
  <c r="AV1017" i="1"/>
  <c r="AW1017" i="1"/>
  <c r="AU1018" i="1"/>
  <c r="AV1018" i="1"/>
  <c r="AW1018" i="1"/>
  <c r="AU1019" i="1"/>
  <c r="AV1019" i="1"/>
  <c r="AW1019" i="1"/>
  <c r="AU1020" i="1"/>
  <c r="AV1020" i="1"/>
  <c r="AW1020" i="1"/>
  <c r="AU1021" i="1"/>
  <c r="AV1021" i="1"/>
  <c r="AW1021" i="1"/>
  <c r="AU1022" i="1"/>
  <c r="AV1022" i="1"/>
  <c r="AW1022" i="1"/>
  <c r="AU1023" i="1"/>
  <c r="AV1023" i="1"/>
  <c r="AW1023" i="1"/>
  <c r="AU1024" i="1"/>
  <c r="AV1024" i="1"/>
  <c r="AW1024" i="1"/>
  <c r="AU1025" i="1"/>
  <c r="AV1025" i="1"/>
  <c r="AW1025" i="1"/>
  <c r="AU1026" i="1"/>
  <c r="AV1026" i="1"/>
  <c r="AW1026" i="1"/>
  <c r="AU1027" i="1"/>
  <c r="AV1027" i="1"/>
  <c r="AW1027" i="1"/>
  <c r="AU1028" i="1"/>
  <c r="AV1028" i="1"/>
  <c r="AW1028" i="1"/>
  <c r="AU1029" i="1"/>
  <c r="AV1029" i="1"/>
  <c r="AW1029" i="1"/>
  <c r="AU1030" i="1"/>
  <c r="AV1030" i="1"/>
  <c r="AW1030" i="1"/>
  <c r="AU1031" i="1"/>
  <c r="AV1031" i="1"/>
  <c r="AW1031" i="1"/>
  <c r="AU1032" i="1"/>
  <c r="AV1032" i="1"/>
  <c r="AW1032" i="1"/>
  <c r="AU1033" i="1"/>
  <c r="AV1033" i="1"/>
  <c r="AW1033" i="1"/>
  <c r="AU1034" i="1"/>
  <c r="AV1034" i="1"/>
  <c r="AW1034" i="1"/>
  <c r="AU1035" i="1"/>
  <c r="AV1035" i="1"/>
  <c r="AW1035" i="1"/>
  <c r="AU1036" i="1"/>
  <c r="AV1036" i="1"/>
  <c r="AW1036" i="1"/>
  <c r="AU1037" i="1"/>
  <c r="AV1037" i="1"/>
  <c r="AW1037" i="1"/>
  <c r="AU1038" i="1"/>
  <c r="AV1038" i="1"/>
  <c r="AW1038" i="1"/>
  <c r="AU1039" i="1"/>
  <c r="AV1039" i="1"/>
  <c r="AW1039" i="1"/>
  <c r="AU1040" i="1"/>
  <c r="AV1040" i="1"/>
  <c r="AW1040" i="1"/>
  <c r="AU1041" i="1"/>
  <c r="AV1041" i="1"/>
  <c r="AW1041" i="1"/>
  <c r="AU1042" i="1"/>
  <c r="AV1042" i="1"/>
  <c r="AW1042" i="1"/>
  <c r="AU1043" i="1"/>
  <c r="AV1043" i="1"/>
  <c r="AW1043" i="1"/>
  <c r="AU1044" i="1"/>
  <c r="AV1044" i="1"/>
  <c r="AW1044" i="1"/>
  <c r="AU1045" i="1"/>
  <c r="AV1045" i="1"/>
  <c r="AW1045" i="1"/>
  <c r="AU1046" i="1"/>
  <c r="AV1046" i="1"/>
  <c r="AW1046" i="1"/>
  <c r="AU1047" i="1"/>
  <c r="AV1047" i="1"/>
  <c r="AW1047" i="1"/>
  <c r="AU1048" i="1"/>
  <c r="AV1048" i="1"/>
  <c r="AW1048" i="1"/>
  <c r="AU1049" i="1"/>
  <c r="AV1049" i="1"/>
  <c r="AW1049" i="1"/>
  <c r="AU1050" i="1"/>
  <c r="AV1050" i="1"/>
  <c r="AW1050" i="1"/>
  <c r="AU1051" i="1"/>
  <c r="AV1051" i="1"/>
  <c r="AW1051" i="1"/>
  <c r="AU1052" i="1"/>
  <c r="AV1052" i="1"/>
  <c r="AW1052" i="1"/>
  <c r="AU1053" i="1"/>
  <c r="AV1053" i="1"/>
  <c r="AW1053" i="1"/>
  <c r="AU1054" i="1"/>
  <c r="AV1054" i="1"/>
  <c r="AW1054" i="1"/>
  <c r="AU1055" i="1"/>
  <c r="AV1055" i="1"/>
  <c r="AW1055" i="1"/>
  <c r="AU1056" i="1"/>
  <c r="AV1056" i="1"/>
  <c r="AW1056" i="1"/>
  <c r="AU1057" i="1"/>
  <c r="AV1057" i="1"/>
  <c r="AW1057" i="1"/>
  <c r="AU1058" i="1"/>
  <c r="AV1058" i="1"/>
  <c r="AW1058" i="1"/>
  <c r="AU1059" i="1"/>
  <c r="AV1059" i="1"/>
  <c r="AW1059" i="1"/>
  <c r="AU1060" i="1"/>
  <c r="AV1060" i="1"/>
  <c r="AW1060" i="1"/>
  <c r="AU1061" i="1"/>
  <c r="AV1061" i="1"/>
  <c r="AW1061" i="1"/>
  <c r="AU1062" i="1"/>
  <c r="AV1062" i="1"/>
  <c r="AW1062" i="1"/>
  <c r="AU1063" i="1"/>
  <c r="AV1063" i="1"/>
  <c r="AW1063" i="1"/>
  <c r="AU1064" i="1"/>
  <c r="AV1064" i="1"/>
  <c r="AW1064" i="1"/>
  <c r="AU1065" i="1"/>
  <c r="AV1065" i="1"/>
  <c r="AW1065" i="1"/>
  <c r="AU1066" i="1"/>
  <c r="AV1066" i="1"/>
  <c r="AW1066" i="1"/>
  <c r="AU1067" i="1"/>
  <c r="AV1067" i="1"/>
  <c r="AW1067" i="1"/>
  <c r="AU1068" i="1"/>
  <c r="AV1068" i="1"/>
  <c r="AW1068" i="1"/>
  <c r="B40" i="2" l="1"/>
  <c r="C40" i="2"/>
  <c r="D40" i="2"/>
  <c r="E40" i="2"/>
  <c r="F40" i="2"/>
  <c r="G40" i="2"/>
  <c r="H40" i="2"/>
  <c r="I40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16" i="2"/>
  <c r="E15" i="2"/>
  <c r="E16" i="2"/>
  <c r="D15" i="2"/>
  <c r="D16" i="2"/>
  <c r="M16" i="2"/>
  <c r="K16" i="2"/>
  <c r="J16" i="2"/>
  <c r="I16" i="2"/>
  <c r="H15" i="2"/>
  <c r="H16" i="2"/>
  <c r="G15" i="2"/>
  <c r="G16" i="2"/>
  <c r="F16" i="2"/>
  <c r="F15" i="2"/>
  <c r="C16" i="2"/>
  <c r="C15" i="2"/>
  <c r="J40" i="2" l="1"/>
  <c r="T28" i="2"/>
  <c r="N16" i="2"/>
  <c r="I39" i="2" l="1"/>
  <c r="I41" i="2"/>
  <c r="I42" i="2"/>
  <c r="I43" i="2"/>
  <c r="I44" i="2"/>
  <c r="I45" i="2"/>
  <c r="I38" i="2"/>
  <c r="D9" i="2"/>
  <c r="E9" i="2" s="1"/>
  <c r="C9" i="2"/>
  <c r="I46" i="2" l="1"/>
  <c r="L27" i="2"/>
  <c r="L29" i="2"/>
  <c r="L30" i="2"/>
  <c r="L31" i="2"/>
  <c r="L32" i="2"/>
  <c r="L33" i="2"/>
  <c r="L26" i="2"/>
  <c r="L34" i="2" l="1"/>
  <c r="R27" i="2"/>
  <c r="R29" i="2"/>
  <c r="R30" i="2"/>
  <c r="R31" i="2"/>
  <c r="R32" i="2"/>
  <c r="R33" i="2"/>
  <c r="R26" i="2"/>
  <c r="O27" i="2"/>
  <c r="O29" i="2"/>
  <c r="O30" i="2"/>
  <c r="O31" i="2"/>
  <c r="O32" i="2"/>
  <c r="O33" i="2"/>
  <c r="O26" i="2"/>
  <c r="R34" i="2" l="1"/>
  <c r="O34" i="2"/>
  <c r="S27" i="2"/>
  <c r="S29" i="2"/>
  <c r="S30" i="2"/>
  <c r="S31" i="2"/>
  <c r="S32" i="2"/>
  <c r="S33" i="2"/>
  <c r="S26" i="2"/>
  <c r="E27" i="2"/>
  <c r="E29" i="2"/>
  <c r="E30" i="2"/>
  <c r="E31" i="2"/>
  <c r="E32" i="2"/>
  <c r="E33" i="2"/>
  <c r="E26" i="2"/>
  <c r="K27" i="2"/>
  <c r="K29" i="2"/>
  <c r="K30" i="2"/>
  <c r="K31" i="2"/>
  <c r="K32" i="2"/>
  <c r="K33" i="2"/>
  <c r="K26" i="2"/>
  <c r="Q33" i="2"/>
  <c r="P33" i="2"/>
  <c r="N33" i="2"/>
  <c r="Q32" i="2"/>
  <c r="P32" i="2"/>
  <c r="N32" i="2"/>
  <c r="Q31" i="2"/>
  <c r="P31" i="2"/>
  <c r="N31" i="2"/>
  <c r="Q30" i="2"/>
  <c r="P30" i="2"/>
  <c r="N30" i="2"/>
  <c r="Q29" i="2"/>
  <c r="P29" i="2"/>
  <c r="N29" i="2"/>
  <c r="Q27" i="2"/>
  <c r="P27" i="2"/>
  <c r="N27" i="2"/>
  <c r="Q26" i="2"/>
  <c r="P26" i="2"/>
  <c r="N26" i="2"/>
  <c r="J26" i="2"/>
  <c r="I26" i="2"/>
  <c r="H26" i="2"/>
  <c r="G26" i="2"/>
  <c r="F26" i="2"/>
  <c r="D26" i="2"/>
  <c r="C26" i="2"/>
  <c r="B26" i="2"/>
  <c r="S34" i="2" l="1"/>
  <c r="E34" i="2"/>
  <c r="P34" i="2"/>
  <c r="K34" i="2"/>
  <c r="Q34" i="2"/>
  <c r="N34" i="2"/>
  <c r="H39" i="2"/>
  <c r="H41" i="2"/>
  <c r="H42" i="2"/>
  <c r="H43" i="2"/>
  <c r="H44" i="2"/>
  <c r="H45" i="2"/>
  <c r="H38" i="2"/>
  <c r="D8" i="2"/>
  <c r="E8" i="2" s="1"/>
  <c r="C8" i="2"/>
  <c r="H46" i="2" l="1"/>
  <c r="G39" i="2" l="1"/>
  <c r="G41" i="2"/>
  <c r="G42" i="2"/>
  <c r="G43" i="2"/>
  <c r="G44" i="2"/>
  <c r="G45" i="2"/>
  <c r="G38" i="2"/>
  <c r="D7" i="2" l="1"/>
  <c r="E7" i="2" s="1"/>
  <c r="C7" i="2"/>
  <c r="C3" i="2"/>
  <c r="C4" i="2"/>
  <c r="C5" i="2"/>
  <c r="C6" i="2"/>
  <c r="F39" i="2" l="1"/>
  <c r="E39" i="2"/>
  <c r="D39" i="2"/>
  <c r="C39" i="2"/>
  <c r="B39" i="2"/>
  <c r="M27" i="2"/>
  <c r="J27" i="2"/>
  <c r="I27" i="2"/>
  <c r="H27" i="2"/>
  <c r="G27" i="2"/>
  <c r="F27" i="2"/>
  <c r="D27" i="2"/>
  <c r="C27" i="2"/>
  <c r="B27" i="2"/>
  <c r="M15" i="2"/>
  <c r="K15" i="2"/>
  <c r="J15" i="2"/>
  <c r="I15" i="2"/>
  <c r="B15" i="2"/>
  <c r="J39" i="2" l="1"/>
  <c r="T27" i="2"/>
  <c r="N15" i="2"/>
  <c r="F41" i="2"/>
  <c r="F42" i="2"/>
  <c r="F43" i="2"/>
  <c r="F44" i="2"/>
  <c r="F45" i="2"/>
  <c r="E44" i="2"/>
  <c r="E45" i="2"/>
  <c r="E41" i="2"/>
  <c r="E42" i="2"/>
  <c r="E43" i="2"/>
  <c r="D41" i="2"/>
  <c r="D42" i="2"/>
  <c r="D43" i="2"/>
  <c r="D44" i="2"/>
  <c r="D45" i="2"/>
  <c r="C41" i="2"/>
  <c r="C42" i="2"/>
  <c r="C43" i="2"/>
  <c r="C44" i="2"/>
  <c r="C45" i="2"/>
  <c r="B41" i="2"/>
  <c r="J41" i="2" s="1"/>
  <c r="B42" i="2"/>
  <c r="B43" i="2"/>
  <c r="B44" i="2"/>
  <c r="B45" i="2"/>
  <c r="J45" i="2" s="1"/>
  <c r="F38" i="2"/>
  <c r="E38" i="2"/>
  <c r="D38" i="2"/>
  <c r="C38" i="2"/>
  <c r="B38" i="2"/>
  <c r="M29" i="2"/>
  <c r="M30" i="2"/>
  <c r="M31" i="2"/>
  <c r="M32" i="2"/>
  <c r="M33" i="2"/>
  <c r="J29" i="2"/>
  <c r="J30" i="2"/>
  <c r="J31" i="2"/>
  <c r="J32" i="2"/>
  <c r="J33" i="2"/>
  <c r="I33" i="2"/>
  <c r="I29" i="2"/>
  <c r="I30" i="2"/>
  <c r="I31" i="2"/>
  <c r="I32" i="2"/>
  <c r="H29" i="2"/>
  <c r="H30" i="2"/>
  <c r="H31" i="2"/>
  <c r="H32" i="2"/>
  <c r="H33" i="2"/>
  <c r="F29" i="2"/>
  <c r="F30" i="2"/>
  <c r="F31" i="2"/>
  <c r="F32" i="2"/>
  <c r="F33" i="2"/>
  <c r="G29" i="2"/>
  <c r="G30" i="2"/>
  <c r="G31" i="2"/>
  <c r="G32" i="2"/>
  <c r="G33" i="2"/>
  <c r="D33" i="2"/>
  <c r="D29" i="2"/>
  <c r="D30" i="2"/>
  <c r="D31" i="2"/>
  <c r="D32" i="2"/>
  <c r="C29" i="2"/>
  <c r="C30" i="2"/>
  <c r="C31" i="2"/>
  <c r="C32" i="2"/>
  <c r="C33" i="2"/>
  <c r="B29" i="2"/>
  <c r="B30" i="2"/>
  <c r="B31" i="2"/>
  <c r="B32" i="2"/>
  <c r="B33" i="2"/>
  <c r="M26" i="2"/>
  <c r="T26" i="2" s="1"/>
  <c r="J44" i="2" l="1"/>
  <c r="J43" i="2"/>
  <c r="J38" i="2"/>
  <c r="J42" i="2"/>
  <c r="T31" i="2"/>
  <c r="T29" i="2"/>
  <c r="T33" i="2"/>
  <c r="T30" i="2"/>
  <c r="T32" i="2"/>
  <c r="M17" i="2"/>
  <c r="M18" i="2"/>
  <c r="M19" i="2"/>
  <c r="M20" i="2"/>
  <c r="M21" i="2"/>
  <c r="K17" i="2"/>
  <c r="K18" i="2"/>
  <c r="K19" i="2"/>
  <c r="K20" i="2"/>
  <c r="K21" i="2"/>
  <c r="J17" i="2"/>
  <c r="J18" i="2"/>
  <c r="J19" i="2"/>
  <c r="J20" i="2"/>
  <c r="J21" i="2"/>
  <c r="I17" i="2"/>
  <c r="I18" i="2"/>
  <c r="I19" i="2"/>
  <c r="I20" i="2"/>
  <c r="I21" i="2"/>
  <c r="H17" i="2"/>
  <c r="H18" i="2"/>
  <c r="H19" i="2"/>
  <c r="H20" i="2"/>
  <c r="H21" i="2"/>
  <c r="G17" i="2"/>
  <c r="G18" i="2"/>
  <c r="G19" i="2"/>
  <c r="G20" i="2"/>
  <c r="G21" i="2"/>
  <c r="F17" i="2"/>
  <c r="F18" i="2"/>
  <c r="F19" i="2"/>
  <c r="F20" i="2"/>
  <c r="F21" i="2"/>
  <c r="E17" i="2"/>
  <c r="E18" i="2"/>
  <c r="E19" i="2"/>
  <c r="E20" i="2"/>
  <c r="E21" i="2"/>
  <c r="D17" i="2"/>
  <c r="D18" i="2"/>
  <c r="D19" i="2"/>
  <c r="D20" i="2"/>
  <c r="D21" i="2"/>
  <c r="M14" i="2"/>
  <c r="K14" i="2"/>
  <c r="J14" i="2"/>
  <c r="I14" i="2"/>
  <c r="H14" i="2"/>
  <c r="G14" i="2"/>
  <c r="F14" i="2"/>
  <c r="E14" i="2"/>
  <c r="D14" i="2"/>
  <c r="C17" i="2"/>
  <c r="C18" i="2"/>
  <c r="C19" i="2"/>
  <c r="C20" i="2"/>
  <c r="C21" i="2"/>
  <c r="C14" i="2"/>
  <c r="B17" i="2"/>
  <c r="B18" i="2"/>
  <c r="B19" i="2"/>
  <c r="B20" i="2"/>
  <c r="B21" i="2"/>
  <c r="B14" i="2"/>
  <c r="D6" i="2"/>
  <c r="D5" i="2"/>
  <c r="D4" i="2"/>
  <c r="D3" i="2"/>
  <c r="D2" i="2"/>
  <c r="C2" i="2"/>
  <c r="J46" i="2" l="1"/>
  <c r="D10" i="2"/>
  <c r="T34" i="2"/>
  <c r="G46" i="2"/>
  <c r="C46" i="2"/>
  <c r="D46" i="2"/>
  <c r="E46" i="2"/>
  <c r="F46" i="2"/>
  <c r="B46" i="2"/>
  <c r="C34" i="2"/>
  <c r="D34" i="2"/>
  <c r="F34" i="2"/>
  <c r="G34" i="2"/>
  <c r="H34" i="2"/>
  <c r="I34" i="2"/>
  <c r="J34" i="2"/>
  <c r="M34" i="2"/>
  <c r="B34" i="2"/>
  <c r="N17" i="2"/>
  <c r="N18" i="2"/>
  <c r="N19" i="2"/>
  <c r="N20" i="2"/>
  <c r="N21" i="2"/>
  <c r="D22" i="2"/>
  <c r="E22" i="2"/>
  <c r="F22" i="2"/>
  <c r="G22" i="2"/>
  <c r="H22" i="2"/>
  <c r="I22" i="2"/>
  <c r="J22" i="2"/>
  <c r="K22" i="2"/>
  <c r="M22" i="2"/>
  <c r="B22" i="2"/>
  <c r="C22" i="2"/>
  <c r="E2" i="2"/>
  <c r="N14" i="2" l="1"/>
  <c r="N22" i="2" s="1"/>
  <c r="E6" i="2" l="1"/>
  <c r="E5" i="2"/>
  <c r="E4" i="2"/>
  <c r="E3" i="2"/>
  <c r="E10" i="2" l="1"/>
  <c r="F9" i="2" s="1"/>
  <c r="F7" i="2" l="1"/>
  <c r="F3" i="2"/>
  <c r="F5" i="2"/>
  <c r="F8" i="2"/>
  <c r="F2" i="2"/>
  <c r="F6" i="2"/>
  <c r="F4" i="2"/>
  <c r="F10" i="2" l="1"/>
</calcChain>
</file>

<file path=xl/sharedStrings.xml><?xml version="1.0" encoding="utf-8"?>
<sst xmlns="http://schemas.openxmlformats.org/spreadsheetml/2006/main" count="4401" uniqueCount="2183">
  <si>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</si>
  <si>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</si>
  <si>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</si>
  <si>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</si>
  <si>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</si>
  <si>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</si>
  <si>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</si>
  <si>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</si>
  <si>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</si>
  <si>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</si>
  <si>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</si>
  <si>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</si>
  <si>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</si>
  <si>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</si>
  <si>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</si>
  <si>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</si>
  <si>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</si>
  <si>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</si>
  <si>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</si>
  <si>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</si>
  <si>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</si>
  <si>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</si>
  <si>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</si>
  <si>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</si>
  <si>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</si>
  <si>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</si>
  <si>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</si>
  <si>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</si>
  <si>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</si>
  <si>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</si>
  <si>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</si>
  <si>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</si>
  <si>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</si>
  <si>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</si>
  <si>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</si>
  <si>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</si>
  <si>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</si>
  <si>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</si>
  <si>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</si>
  <si>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</si>
  <si>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</si>
  <si>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</si>
  <si>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</si>
  <si>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</si>
  <si>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</si>
  <si>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</si>
  <si>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</si>
  <si>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</si>
  <si>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</si>
  <si>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</si>
  <si>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</si>
  <si>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</si>
  <si>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</si>
  <si>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</si>
  <si>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</si>
  <si>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</si>
  <si>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</si>
  <si>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</si>
  <si>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</si>
  <si>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</si>
  <si>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</si>
  <si>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</si>
  <si>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</si>
  <si>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</si>
  <si>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</si>
  <si>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</si>
  <si>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</si>
  <si>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</si>
  <si>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</si>
  <si>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</si>
  <si>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</si>
  <si>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</si>
  <si>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</si>
  <si>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</si>
  <si>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Post
 October16</t>
  </si>
  <si>
    <t>Post 17 October 16 Period</t>
  </si>
  <si>
    <t>1- Pre-June14</t>
  </si>
  <si>
    <t>7- Post 17October 2016</t>
  </si>
  <si>
    <t>8- July 2017</t>
  </si>
  <si>
    <t>July 17</t>
  </si>
  <si>
    <t>Al-Rutba</t>
  </si>
  <si>
    <t>حي الحارة</t>
  </si>
  <si>
    <t>حي الانتصار</t>
  </si>
  <si>
    <t>Al Wadi</t>
  </si>
  <si>
    <t>حي الوادي</t>
  </si>
  <si>
    <t>Al-Daraemah Village</t>
  </si>
  <si>
    <t>قرية الدراعمة</t>
  </si>
  <si>
    <t>Germany Company Location</t>
  </si>
  <si>
    <t>مجمع الشركة الالمانية</t>
  </si>
  <si>
    <t>Hay Al Askary</t>
  </si>
  <si>
    <t>حي العسكري</t>
  </si>
  <si>
    <t>حي المطار</t>
  </si>
  <si>
    <t>Hay Al Meethagh</t>
  </si>
  <si>
    <t>حي الميثاق</t>
  </si>
  <si>
    <t>حي غرب الوادي</t>
  </si>
  <si>
    <t>Falluja</t>
  </si>
  <si>
    <t>Abu Sideera</t>
  </si>
  <si>
    <t>ابو سديرة</t>
  </si>
  <si>
    <t>العبة</t>
  </si>
  <si>
    <t xml:space="preserve">الازركية </t>
  </si>
  <si>
    <t>Al Daffar</t>
  </si>
  <si>
    <t>الدفار</t>
  </si>
  <si>
    <t xml:space="preserve">قرية الفلاحات 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</si>
  <si>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</si>
  <si>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</si>
  <si>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</si>
  <si>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</si>
  <si>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</si>
  <si>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</si>
  <si>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</si>
  <si>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</si>
  <si>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 xml:space="preserve">النعيمية </t>
  </si>
  <si>
    <t>الروفة</t>
  </si>
  <si>
    <t>Al Rumila</t>
  </si>
  <si>
    <t>الرميلة</t>
  </si>
  <si>
    <t>AL Shihaa</t>
  </si>
  <si>
    <t>الشيحة</t>
  </si>
  <si>
    <t>الشهابي الاولى</t>
  </si>
  <si>
    <t xml:space="preserve">الشهابي الثانية </t>
  </si>
  <si>
    <t xml:space="preserve">الشهداء الثانية 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</si>
  <si>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</si>
  <si>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</si>
  <si>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</si>
  <si>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</si>
  <si>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</si>
  <si>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</si>
  <si>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 xml:space="preserve">قرية الزوية </t>
  </si>
  <si>
    <t>Al-Akrad</t>
  </si>
  <si>
    <t>حي الاكراد</t>
  </si>
  <si>
    <t>Al-andalus</t>
  </si>
  <si>
    <t>حي الأندلس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</si>
  <si>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</si>
  <si>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</si>
  <si>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</si>
  <si>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</si>
  <si>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</si>
  <si>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</si>
  <si>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</si>
  <si>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</si>
  <si>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</si>
  <si>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</si>
  <si>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</si>
  <si>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</si>
  <si>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</si>
  <si>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</si>
  <si>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Al-waheda</t>
  </si>
  <si>
    <t>حي الوحدة</t>
  </si>
  <si>
    <t>البوعكاش</t>
  </si>
  <si>
    <t>Albu Alwan</t>
  </si>
  <si>
    <t>قرية البوعلوان</t>
  </si>
  <si>
    <t>البوعيفان</t>
  </si>
  <si>
    <t xml:space="preserve">البوحديد الناصر </t>
  </si>
  <si>
    <t>Albu Hawa</t>
  </si>
  <si>
    <t xml:space="preserve">البوهوى 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</si>
  <si>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</si>
  <si>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</si>
  <si>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</si>
  <si>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</si>
  <si>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</si>
  <si>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البوشهاب</t>
  </si>
  <si>
    <t>البوشجل</t>
  </si>
  <si>
    <t>Albu Udah</t>
  </si>
  <si>
    <t>البوعودة</t>
  </si>
  <si>
    <t xml:space="preserve">قرية الحلابسة </t>
  </si>
  <si>
    <t>Door Al Sikik Area</t>
  </si>
  <si>
    <t>دور السكك</t>
  </si>
  <si>
    <t>Halabsa-Al karma</t>
  </si>
  <si>
    <t>Hay Al Askari</t>
  </si>
  <si>
    <t>الحي العسكري</t>
  </si>
  <si>
    <t>Hay Al Dhubbat</t>
  </si>
  <si>
    <t>حي الضباط</t>
  </si>
  <si>
    <t>Hay Al Shuhadaa</t>
  </si>
  <si>
    <t>حي الشهداء</t>
  </si>
  <si>
    <t>Hay Al-Resala</t>
  </si>
  <si>
    <t>حي الرسالة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</si>
  <si>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</si>
  <si>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</si>
  <si>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</si>
  <si>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</si>
  <si>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</si>
  <si>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</si>
  <si>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</si>
  <si>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</si>
  <si>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</si>
  <si>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</si>
  <si>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</si>
  <si>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</si>
  <si>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</si>
  <si>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</si>
  <si>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</si>
  <si>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</si>
  <si>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</si>
  <si>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</si>
  <si>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</si>
  <si>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</si>
  <si>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</si>
  <si>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</si>
  <si>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</si>
  <si>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</si>
  <si>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</si>
  <si>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</si>
  <si>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</si>
  <si>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</si>
  <si>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حي السبحاني</t>
  </si>
  <si>
    <t>Hay Al-shikh Al Hadid</t>
  </si>
  <si>
    <t>حي شيخ حديد</t>
  </si>
  <si>
    <t>مجمع ك 28 (( كي ثري ))</t>
  </si>
  <si>
    <t>Heet</t>
  </si>
  <si>
    <t>Abu Tibban</t>
  </si>
  <si>
    <t>ابوطيبان</t>
  </si>
  <si>
    <t>Al Baker</t>
  </si>
  <si>
    <t>حي البكر</t>
  </si>
  <si>
    <t>الحي السكني</t>
  </si>
  <si>
    <t>Al Muhamdee</t>
  </si>
  <si>
    <t xml:space="preserve">المحمدي </t>
  </si>
  <si>
    <t>القدس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</si>
  <si>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</si>
  <si>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</si>
  <si>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</si>
  <si>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</si>
  <si>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</si>
  <si>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</si>
  <si>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</si>
  <si>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</si>
  <si>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</si>
  <si>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</si>
  <si>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Al-Qalqalah</t>
  </si>
  <si>
    <t xml:space="preserve">القلقة </t>
  </si>
  <si>
    <t>Al-Sikak</t>
  </si>
  <si>
    <t>السكك</t>
  </si>
  <si>
    <t>Basair</t>
  </si>
  <si>
    <t xml:space="preserve">البصائر </t>
  </si>
  <si>
    <t>Binan</t>
  </si>
  <si>
    <t>بنان</t>
  </si>
  <si>
    <t>حي الاطفاء</t>
  </si>
  <si>
    <t>Hay Al Farouq</t>
  </si>
  <si>
    <t>حي الفاروق</t>
  </si>
  <si>
    <t>Hay al Jury</t>
  </si>
  <si>
    <t>الجري</t>
  </si>
  <si>
    <t>Hay Al Mamoun</t>
  </si>
  <si>
    <t xml:space="preserve">حي المامون </t>
  </si>
  <si>
    <t>Hay Al-Askari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</si>
  <si>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</si>
  <si>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</si>
  <si>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</si>
  <si>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</si>
  <si>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</si>
  <si>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</si>
  <si>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</si>
  <si>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</si>
  <si>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Al-Sadiq</t>
  </si>
  <si>
    <t>حي الصديق</t>
  </si>
  <si>
    <t>Hay Al-Zuhoor</t>
  </si>
  <si>
    <t>حي الزهور</t>
  </si>
  <si>
    <t>Heet-Maskhan</t>
  </si>
  <si>
    <t>المصخن</t>
  </si>
  <si>
    <t>Jubbah</t>
  </si>
  <si>
    <t xml:space="preserve">جبة 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</si>
  <si>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</si>
  <si>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</si>
  <si>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</si>
  <si>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</si>
  <si>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</si>
  <si>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</si>
  <si>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</si>
  <si>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</si>
  <si>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</si>
  <si>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</si>
  <si>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</si>
  <si>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</si>
  <si>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Ramadi</t>
  </si>
  <si>
    <t>السبعة كيلو-المجمع السكني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</si>
  <si>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</si>
  <si>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</si>
  <si>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</si>
  <si>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</si>
  <si>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</si>
  <si>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</si>
  <si>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</si>
  <si>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</si>
  <si>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</si>
  <si>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</si>
  <si>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</si>
  <si>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الحامضية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</si>
  <si>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</si>
  <si>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</si>
  <si>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</si>
  <si>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</si>
  <si>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</si>
  <si>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</si>
  <si>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</si>
  <si>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</si>
  <si>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</si>
  <si>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</si>
  <si>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القادسية الثانية</t>
  </si>
  <si>
    <t>Al Rimilah</t>
  </si>
  <si>
    <t>Al Sajariyah</t>
  </si>
  <si>
    <t>السجارية</t>
  </si>
  <si>
    <t>Al Shuhadaa Qtr</t>
  </si>
  <si>
    <t>الشهداء</t>
  </si>
  <si>
    <t>Al Shuqaq Al Bidh</t>
  </si>
  <si>
    <t>الشقق البيض</t>
  </si>
  <si>
    <t>الصوفية</t>
  </si>
  <si>
    <t>Al Soora</t>
  </si>
  <si>
    <t>السورة</t>
  </si>
  <si>
    <t>العروبة</t>
  </si>
  <si>
    <t>Al Ziraa</t>
  </si>
  <si>
    <t>الزراعة</t>
  </si>
  <si>
    <t>Al-Ankor</t>
  </si>
  <si>
    <t>العنكور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</si>
  <si>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</si>
  <si>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</si>
  <si>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</si>
  <si>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</si>
  <si>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</si>
  <si>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</si>
  <si>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</si>
  <si>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</si>
  <si>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</si>
  <si>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</si>
  <si>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</si>
  <si>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</si>
  <si>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</si>
  <si>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</si>
  <si>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</si>
  <si>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</si>
  <si>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</si>
  <si>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</si>
  <si>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</si>
  <si>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</si>
  <si>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</si>
  <si>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</si>
  <si>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</si>
  <si>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</si>
  <si>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</si>
  <si>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</si>
  <si>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</si>
  <si>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</si>
  <si>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</si>
  <si>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Hay Al-Salam</t>
  </si>
  <si>
    <t>السلام</t>
  </si>
  <si>
    <t>Husaibah Al-Sharqiah</t>
  </si>
  <si>
    <t xml:space="preserve">حصيبة الشرقية </t>
  </si>
  <si>
    <t>Jubiyah</t>
  </si>
  <si>
    <t>جويبة</t>
  </si>
  <si>
    <t>الخمسة كيلو</t>
  </si>
  <si>
    <t>Qadisiya-1</t>
  </si>
  <si>
    <t>القادسية الاولى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</si>
  <si>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</si>
  <si>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</si>
  <si>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</si>
  <si>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</si>
  <si>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</si>
  <si>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</si>
  <si>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</si>
  <si>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</si>
  <si>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زوية الذبان</t>
  </si>
  <si>
    <t>Abu Ghraib</t>
  </si>
  <si>
    <t xml:space="preserve">Adel Hrat village </t>
  </si>
  <si>
    <t>قرية عادل هراط</t>
  </si>
  <si>
    <t xml:space="preserve">Al Anezan village </t>
  </si>
  <si>
    <t>قرية العنيزان</t>
  </si>
  <si>
    <t>Al Batiy Village</t>
  </si>
  <si>
    <t>قرية البطي</t>
  </si>
  <si>
    <t>Al Bu Maeed village</t>
  </si>
  <si>
    <t>قرية البو معيد</t>
  </si>
  <si>
    <t xml:space="preserve">Al Fallujieen village </t>
  </si>
  <si>
    <t>قرية الفلوجيين</t>
  </si>
  <si>
    <t>Al Hamadan village</t>
  </si>
  <si>
    <t>الزيدان-قرية الحمدان</t>
  </si>
  <si>
    <t xml:space="preserve">Al Hawijar village 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</si>
  <si>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</si>
  <si>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</si>
  <si>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</si>
  <si>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</si>
  <si>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</si>
  <si>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</si>
  <si>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</si>
  <si>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</si>
  <si>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</si>
  <si>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</si>
  <si>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>Al Masara village</t>
  </si>
  <si>
    <t xml:space="preserve">قرية المسارة </t>
  </si>
  <si>
    <t>Al Raja village</t>
  </si>
  <si>
    <t>قرية الرجه</t>
  </si>
  <si>
    <t xml:space="preserve">Al Shanadka village </t>
  </si>
  <si>
    <t>الزيدان-قرية الشنادخة</t>
  </si>
  <si>
    <t>Al shaneter village</t>
  </si>
  <si>
    <t>الزيدان-قرية الشنيتر</t>
  </si>
  <si>
    <t>Al Zahalya village</t>
  </si>
  <si>
    <t>قرية الزحالية</t>
  </si>
  <si>
    <t>Al Zaidan-Al Sadan village</t>
  </si>
  <si>
    <t>الزيدان-قرية السعدان</t>
  </si>
  <si>
    <t>Doylebea village</t>
  </si>
  <si>
    <t>قرية دوليبة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</si>
  <si>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</si>
  <si>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</si>
  <si>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</si>
  <si>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</si>
  <si>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</si>
  <si>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</si>
  <si>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</si>
  <si>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</si>
  <si>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</si>
  <si>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</si>
  <si>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</si>
  <si>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</si>
  <si>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</si>
  <si>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</si>
  <si>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</si>
  <si>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</si>
  <si>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</si>
  <si>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</si>
  <si>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</si>
  <si>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</si>
  <si>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</si>
  <si>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</si>
  <si>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</si>
  <si>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</si>
  <si>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</si>
  <si>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</si>
  <si>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Abu Lahya(Al kragolyia)</t>
  </si>
  <si>
    <t>البو عيسا(الكرغولية)</t>
  </si>
  <si>
    <t>Al Azam village-Mukhata 17</t>
  </si>
  <si>
    <t>قرية العزم-مقاطعة 17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</si>
  <si>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</si>
  <si>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</si>
  <si>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</si>
  <si>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</si>
  <si>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</si>
  <si>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</si>
  <si>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Al Hakeam Al Rasheed-(Al Jomblatiya Southern)</t>
  </si>
  <si>
    <t xml:space="preserve">قرية الحكيم الرشيد-الجمبلاطية الجنوبية </t>
  </si>
  <si>
    <t>Al Muaghith village-(Al Jomblatiya Southern)</t>
  </si>
  <si>
    <t>Al Mustafa village-(Al Jomblatiya Southern)</t>
  </si>
  <si>
    <t>قرية المصطفى-الجمبلاطية الجنوبية</t>
  </si>
  <si>
    <t>Al Rasool village-(Al Jomblatiya Southern)</t>
  </si>
  <si>
    <t xml:space="preserve">قرية الرسول-الجمبلاطية الجنوبية </t>
  </si>
  <si>
    <t>Albo Aesa-Mukhata 16</t>
  </si>
  <si>
    <t>مقاطعة 16-قرية البو عيسا</t>
  </si>
  <si>
    <t>Albo Awasj village</t>
  </si>
  <si>
    <t>قرية البو عوسج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</si>
  <si>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</si>
  <si>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</si>
  <si>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</si>
  <si>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</si>
  <si>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</si>
  <si>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</si>
  <si>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</si>
  <si>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</si>
  <si>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</si>
  <si>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</si>
  <si>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</si>
  <si>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</si>
  <si>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Killo-32</t>
  </si>
  <si>
    <t>كيلو 32</t>
  </si>
  <si>
    <t>Mukata 16</t>
  </si>
  <si>
    <t>مقاطعة 16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</si>
  <si>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</si>
  <si>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</si>
  <si>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</si>
  <si>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</si>
  <si>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</si>
  <si>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</si>
  <si>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</si>
  <si>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</si>
  <si>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</si>
  <si>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</si>
  <si>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</si>
  <si>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</si>
  <si>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</si>
  <si>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</si>
  <si>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</si>
  <si>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</si>
  <si>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Al-Khalis</t>
  </si>
  <si>
    <t>Al Aqssa Village</t>
  </si>
  <si>
    <t>قرية الاقصى</t>
  </si>
  <si>
    <t>قرية العرابضة</t>
  </si>
  <si>
    <t>Al Askary Qtr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</si>
  <si>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</si>
  <si>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</si>
  <si>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</si>
  <si>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</si>
  <si>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</si>
  <si>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</si>
  <si>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</si>
  <si>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</si>
  <si>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</si>
  <si>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</si>
  <si>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</si>
  <si>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</si>
  <si>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</si>
  <si>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</si>
  <si>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</si>
  <si>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</si>
  <si>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</si>
  <si>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</si>
  <si>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</si>
  <si>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</si>
  <si>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قرية المكاريين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</si>
  <si>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</si>
  <si>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</si>
  <si>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</si>
  <si>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</si>
  <si>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</si>
  <si>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</si>
  <si>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قرية المشروع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</si>
  <si>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</si>
  <si>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</si>
  <si>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</si>
  <si>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</si>
  <si>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</si>
  <si>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</si>
  <si>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قرية الرميلات</t>
  </si>
  <si>
    <t>قرية السادة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</si>
  <si>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</si>
  <si>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</si>
  <si>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</si>
  <si>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</si>
  <si>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</si>
  <si>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</si>
  <si>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</si>
  <si>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</si>
  <si>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</si>
  <si>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</si>
  <si>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</si>
  <si>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</si>
  <si>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</si>
  <si>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</si>
  <si>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</si>
  <si>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</si>
  <si>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</si>
  <si>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</si>
  <si>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</si>
  <si>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</si>
  <si>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</si>
  <si>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</si>
  <si>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</si>
  <si>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</si>
  <si>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</si>
  <si>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</si>
  <si>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</si>
  <si>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</si>
  <si>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</si>
  <si>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</si>
  <si>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</si>
  <si>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</si>
  <si>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</si>
  <si>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</si>
  <si>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</si>
  <si>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</si>
  <si>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</si>
  <si>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</si>
  <si>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</si>
  <si>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</si>
  <si>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</si>
  <si>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</si>
  <si>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</si>
  <si>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</si>
  <si>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</si>
  <si>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</si>
  <si>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</si>
  <si>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</si>
  <si>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</si>
  <si>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</si>
  <si>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</si>
  <si>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</si>
  <si>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</si>
  <si>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</si>
  <si>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</si>
  <si>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</si>
  <si>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</si>
  <si>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</si>
  <si>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</si>
  <si>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</si>
  <si>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</si>
  <si>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</si>
  <si>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</si>
  <si>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</si>
  <si>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</si>
  <si>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</si>
  <si>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</si>
  <si>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Dali Abbas-Al Qadim Qtr</t>
  </si>
  <si>
    <t>دلي عباس-الحي القديم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</si>
  <si>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</si>
  <si>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</si>
  <si>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</si>
  <si>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</si>
  <si>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</si>
  <si>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</si>
  <si>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</si>
  <si>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</si>
  <si>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</si>
  <si>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</si>
  <si>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</si>
  <si>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</si>
  <si>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</si>
  <si>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</si>
  <si>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</si>
  <si>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</si>
  <si>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</si>
  <si>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</si>
  <si>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</si>
  <si>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</si>
  <si>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</si>
  <si>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</si>
  <si>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</si>
  <si>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</si>
  <si>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</si>
  <si>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</si>
  <si>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</si>
  <si>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</si>
  <si>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</si>
  <si>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</si>
  <si>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</si>
  <si>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</si>
  <si>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</si>
  <si>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</si>
  <si>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</si>
  <si>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</si>
  <si>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</si>
  <si>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</si>
  <si>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</si>
  <si>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</si>
  <si>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</si>
  <si>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</si>
  <si>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</si>
  <si>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</si>
  <si>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</si>
  <si>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</si>
  <si>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</si>
  <si>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</si>
  <si>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</si>
  <si>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</si>
  <si>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</si>
  <si>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</si>
  <si>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</si>
  <si>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</si>
  <si>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</si>
  <si>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</si>
  <si>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</si>
  <si>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</si>
  <si>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</si>
  <si>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</si>
  <si>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</si>
  <si>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</si>
  <si>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</si>
  <si>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</si>
  <si>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</si>
  <si>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</si>
  <si>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</si>
  <si>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</si>
  <si>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</si>
  <si>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</si>
  <si>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</si>
  <si>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</si>
  <si>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</si>
  <si>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</si>
  <si>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</si>
  <si>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</si>
  <si>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</si>
  <si>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</si>
  <si>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</si>
  <si>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</si>
  <si>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</si>
  <si>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</si>
  <si>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</si>
  <si>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</si>
  <si>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</si>
  <si>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</si>
  <si>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</si>
  <si>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</si>
  <si>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</si>
  <si>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</si>
  <si>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</si>
  <si>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</si>
  <si>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</si>
  <si>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</si>
  <si>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</si>
  <si>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</si>
  <si>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</si>
  <si>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</si>
  <si>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</si>
  <si>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</si>
  <si>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</si>
  <si>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</si>
  <si>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</si>
  <si>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</si>
  <si>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</si>
  <si>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</si>
  <si>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</si>
  <si>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</si>
  <si>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</si>
  <si>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</si>
  <si>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</si>
  <si>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</si>
  <si>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</si>
  <si>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</si>
  <si>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</si>
  <si>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</si>
  <si>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</si>
  <si>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</si>
  <si>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</si>
  <si>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</si>
  <si>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</si>
  <si>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</si>
  <si>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</si>
  <si>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</si>
  <si>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</si>
  <si>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</si>
  <si>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</si>
  <si>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</si>
  <si>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</si>
  <si>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</si>
  <si>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</si>
  <si>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</si>
  <si>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</si>
  <si>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</si>
  <si>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</si>
  <si>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</si>
  <si>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</si>
  <si>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</si>
  <si>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</si>
  <si>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</si>
  <si>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</si>
  <si>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</si>
  <si>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</si>
  <si>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</si>
  <si>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</si>
  <si>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</si>
  <si>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</si>
  <si>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</si>
  <si>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</si>
  <si>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</si>
  <si>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</si>
  <si>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</si>
  <si>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</si>
  <si>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</si>
  <si>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</si>
  <si>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</si>
  <si>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</si>
  <si>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</si>
  <si>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</si>
  <si>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</si>
  <si>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</si>
  <si>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</si>
  <si>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</si>
  <si>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</si>
  <si>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</si>
  <si>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</si>
  <si>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</si>
  <si>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Asakraa village</t>
  </si>
  <si>
    <t>قرية العساكرة</t>
  </si>
  <si>
    <t>Al Asree Qtr</t>
  </si>
  <si>
    <t>الحي العصري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</si>
  <si>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</si>
  <si>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</si>
  <si>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</si>
  <si>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</si>
  <si>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</si>
  <si>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</si>
  <si>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</si>
  <si>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</si>
  <si>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</si>
  <si>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</si>
  <si>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</si>
  <si>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</si>
  <si>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</si>
  <si>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</si>
  <si>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</si>
  <si>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</si>
  <si>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</si>
  <si>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</si>
  <si>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</si>
  <si>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</si>
  <si>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</si>
  <si>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</si>
  <si>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</si>
  <si>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</si>
  <si>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</si>
  <si>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</si>
  <si>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</si>
  <si>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</si>
  <si>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</si>
  <si>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</si>
  <si>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حي السلام</t>
  </si>
  <si>
    <t>Al Shaheed Qtr(Al Zohor)</t>
  </si>
  <si>
    <t>حي الشهيد(الزهور)</t>
  </si>
  <si>
    <t>Al Shuhada Qtr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</si>
  <si>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</si>
  <si>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</si>
  <si>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</si>
  <si>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</si>
  <si>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</si>
  <si>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</si>
  <si>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</si>
  <si>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</si>
  <si>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</si>
  <si>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</si>
  <si>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</si>
  <si>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</si>
  <si>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Taleaa 2 Qtr</t>
  </si>
  <si>
    <t>حي الطليعة 2</t>
  </si>
  <si>
    <t>حي الطليعة 3</t>
  </si>
  <si>
    <t>حي الطليعة 4</t>
  </si>
  <si>
    <t>حي الطليعة 5</t>
  </si>
  <si>
    <t>Al Taleaa Qtr</t>
  </si>
  <si>
    <t>حي الطليعة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</si>
  <si>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</si>
  <si>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</si>
  <si>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</si>
  <si>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</si>
  <si>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</si>
  <si>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</si>
  <si>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</si>
  <si>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</si>
  <si>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</si>
  <si>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</si>
  <si>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</si>
  <si>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</si>
  <si>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</si>
  <si>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</si>
  <si>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</si>
  <si>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</si>
  <si>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</si>
  <si>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</si>
  <si>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</si>
  <si>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</si>
  <si>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Bani weas Village</t>
  </si>
  <si>
    <t>قرية بني ويس</t>
  </si>
  <si>
    <t>Diyala Village</t>
  </si>
  <si>
    <t>قرية ديالى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</si>
  <si>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</si>
  <si>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</si>
  <si>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</si>
  <si>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</si>
  <si>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</si>
  <si>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</si>
  <si>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Said Jabar Village</t>
  </si>
  <si>
    <t>قرية سيد جبار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</si>
  <si>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</si>
  <si>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</si>
  <si>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</si>
  <si>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</si>
  <si>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</si>
  <si>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</si>
  <si>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</si>
  <si>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</si>
  <si>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</si>
  <si>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</si>
  <si>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</si>
  <si>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</si>
  <si>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</si>
  <si>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</si>
  <si>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</si>
  <si>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</si>
  <si>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</si>
  <si>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</si>
  <si>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</si>
  <si>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</si>
  <si>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</si>
  <si>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</si>
  <si>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</si>
  <si>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</si>
  <si>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</si>
  <si>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</si>
  <si>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</si>
  <si>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</si>
  <si>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</si>
  <si>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</si>
  <si>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</si>
  <si>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</si>
  <si>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Saidawa</t>
  </si>
  <si>
    <t>سيداوة</t>
  </si>
  <si>
    <t>Salahya</t>
  </si>
  <si>
    <t>صلاحية</t>
  </si>
  <si>
    <t>Saray(markez bazar)</t>
  </si>
  <si>
    <t>سراي(مركز بازار)</t>
  </si>
  <si>
    <t>Shahidan</t>
  </si>
  <si>
    <t>شهيدان</t>
  </si>
  <si>
    <t>Sherwany</t>
  </si>
  <si>
    <t>شيرواني</t>
  </si>
  <si>
    <t>Al-Hawiga</t>
  </si>
  <si>
    <t>Shamitt Village</t>
  </si>
  <si>
    <t>قرية شميط</t>
  </si>
  <si>
    <t>Daquq</t>
  </si>
  <si>
    <t>Bashir village</t>
  </si>
  <si>
    <t>قرية بشير</t>
  </si>
  <si>
    <t>Kobani village</t>
  </si>
  <si>
    <t>قرية كوباني</t>
  </si>
  <si>
    <t>Adris khazal</t>
  </si>
  <si>
    <t>ادريس خزعل</t>
  </si>
  <si>
    <t>Al Hendia</t>
  </si>
  <si>
    <t>قرية الهندية</t>
  </si>
  <si>
    <t>Idris khabbaz</t>
  </si>
  <si>
    <t>ادريس خباز</t>
  </si>
  <si>
    <t>Mala Abdullah village</t>
  </si>
  <si>
    <t xml:space="preserve">قرية ملا عبدالله 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</si>
  <si>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</si>
  <si>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</si>
  <si>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</si>
  <si>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</si>
  <si>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</si>
  <si>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</si>
  <si>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</si>
  <si>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</si>
  <si>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</si>
  <si>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</si>
  <si>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</si>
  <si>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</si>
  <si>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</si>
  <si>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</si>
  <si>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</si>
  <si>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</si>
  <si>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</si>
  <si>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</si>
  <si>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</si>
  <si>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</si>
  <si>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</si>
  <si>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</si>
  <si>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</si>
  <si>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</si>
  <si>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</si>
  <si>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</si>
  <si>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</si>
  <si>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</si>
  <si>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</si>
  <si>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</si>
  <si>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</si>
  <si>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</si>
  <si>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</si>
  <si>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</si>
  <si>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</si>
  <si>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</si>
  <si>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</si>
  <si>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</si>
  <si>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</si>
  <si>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</si>
  <si>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</si>
  <si>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</si>
  <si>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</si>
  <si>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</si>
  <si>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</si>
  <si>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</si>
  <si>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</si>
  <si>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</si>
  <si>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</si>
  <si>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</si>
  <si>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</si>
  <si>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</si>
  <si>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</si>
  <si>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</si>
  <si>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</si>
  <si>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</si>
  <si>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</si>
  <si>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</si>
  <si>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</si>
  <si>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</si>
  <si>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</si>
  <si>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</si>
  <si>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</si>
  <si>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Shamsiat Village</t>
  </si>
  <si>
    <t>قرية الشمسيات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</si>
  <si>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</si>
  <si>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</si>
  <si>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</si>
  <si>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</si>
  <si>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</si>
  <si>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</si>
  <si>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</si>
  <si>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</si>
  <si>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</si>
  <si>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</si>
  <si>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</si>
  <si>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</si>
  <si>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</si>
  <si>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</si>
  <si>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</si>
  <si>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</si>
  <si>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</si>
  <si>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</si>
  <si>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</si>
  <si>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</si>
  <si>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</si>
  <si>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</si>
  <si>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</si>
  <si>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</si>
  <si>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</si>
  <si>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</si>
  <si>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</si>
  <si>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</si>
  <si>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</si>
  <si>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</si>
  <si>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</si>
  <si>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</si>
  <si>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</si>
  <si>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</si>
  <si>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</si>
  <si>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</si>
  <si>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Khobaz Village</t>
  </si>
  <si>
    <t>قرية خبازة</t>
  </si>
  <si>
    <t>khrbat Al-sim Village</t>
  </si>
  <si>
    <t>قرية خربة السم</t>
  </si>
  <si>
    <t>Mokhazaga Village</t>
  </si>
  <si>
    <t>قرية مخزكة</t>
  </si>
  <si>
    <t>Mosul</t>
  </si>
  <si>
    <t>Ablah Village</t>
  </si>
  <si>
    <t>قرية عبلة</t>
  </si>
  <si>
    <t>Abo Jarboaa</t>
  </si>
  <si>
    <t>قرية ابو جربوعة</t>
  </si>
  <si>
    <t>Abyath Al-kafor Village</t>
  </si>
  <si>
    <t xml:space="preserve">قرية ابيض الكافور </t>
  </si>
  <si>
    <t>Al Baraka complex</t>
  </si>
  <si>
    <t>مجمع البركة</t>
  </si>
  <si>
    <t>Al Haj Ali</t>
  </si>
  <si>
    <t>الحاج علي</t>
  </si>
  <si>
    <t>AL Jawana</t>
  </si>
  <si>
    <t>Al Samaqiyah</t>
  </si>
  <si>
    <t>السماقية</t>
  </si>
  <si>
    <t>Al-Alfaf complex</t>
  </si>
  <si>
    <t>مجمع الالفاف</t>
  </si>
  <si>
    <t>Al-arbid Village</t>
  </si>
  <si>
    <t>قرية العربيد</t>
  </si>
  <si>
    <t>Al-Areej Village</t>
  </si>
  <si>
    <t>قرية العريج</t>
  </si>
  <si>
    <t>Al-Ausaja Village</t>
  </si>
  <si>
    <t>قرية العوسجة</t>
  </si>
  <si>
    <t>Al-Bareed</t>
  </si>
  <si>
    <t>البريد</t>
  </si>
  <si>
    <t>Al-Derbas Village</t>
  </si>
  <si>
    <t>قرية الدرباس</t>
  </si>
  <si>
    <t>Al-Hasya Village</t>
  </si>
  <si>
    <t>قرية الحصية</t>
  </si>
  <si>
    <t>Al-Hood Village</t>
  </si>
  <si>
    <t>قرية الحود</t>
  </si>
  <si>
    <t>AL-Jadah Village</t>
  </si>
  <si>
    <t>قرية الجدعة</t>
  </si>
  <si>
    <t>Al-Jamasah Village</t>
  </si>
  <si>
    <t>قرية الجماسة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</si>
  <si>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</si>
  <si>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</si>
  <si>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</si>
  <si>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</si>
  <si>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</si>
  <si>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</si>
  <si>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Al-Kharrar Village</t>
  </si>
  <si>
    <t>قرية الخرار</t>
  </si>
  <si>
    <t>AL-Maghfera Village</t>
  </si>
  <si>
    <t>قرية المغفرة</t>
  </si>
  <si>
    <t>Al-Nawaran</t>
  </si>
  <si>
    <t>النوران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</si>
  <si>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</si>
  <si>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</si>
  <si>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</si>
  <si>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</si>
  <si>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</si>
  <si>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</si>
  <si>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Al-Salahiya Village</t>
  </si>
  <si>
    <t>قرية الصلاحية</t>
  </si>
  <si>
    <t>Al-Tebat Village</t>
  </si>
  <si>
    <t>قرية الطيبات</t>
  </si>
  <si>
    <t>Al-zakrotiyah Village</t>
  </si>
  <si>
    <t>قرية الزكروطية</t>
  </si>
  <si>
    <t>Al-Zawya Village</t>
  </si>
  <si>
    <t>قرية الزاوية</t>
  </si>
  <si>
    <t>Albu jwari Village</t>
  </si>
  <si>
    <t>قرية البو جواري</t>
  </si>
  <si>
    <t>Arfela Village</t>
  </si>
  <si>
    <t>قرية رفيلة</t>
  </si>
  <si>
    <t xml:space="preserve">Aski Mosul Village </t>
  </si>
  <si>
    <t xml:space="preserve">قريه اسكي موصل 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</si>
  <si>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</si>
  <si>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</si>
  <si>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</si>
  <si>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</si>
  <si>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</si>
  <si>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</si>
  <si>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</si>
  <si>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</si>
  <si>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</si>
  <si>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</si>
  <si>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Derig</t>
  </si>
  <si>
    <t>قرية ديرج</t>
  </si>
  <si>
    <t>Drawesh Village</t>
  </si>
  <si>
    <t>Hadhrat Al-Fadhil village</t>
  </si>
  <si>
    <t>قرية حضرة الفاضل</t>
  </si>
  <si>
    <t>Hamam Alaleel Center</t>
  </si>
  <si>
    <t>مركز حمام العليل</t>
  </si>
  <si>
    <t>Hay Al Arabi</t>
  </si>
  <si>
    <t>حي العربي</t>
  </si>
  <si>
    <t>Hay Al Samah</t>
  </si>
  <si>
    <t>حي السماح</t>
  </si>
  <si>
    <t>HAY-SUMMER</t>
  </si>
  <si>
    <t>حي سومر</t>
  </si>
  <si>
    <t>Imam Village</t>
  </si>
  <si>
    <t>قرية الامام</t>
  </si>
  <si>
    <t>Janjy</t>
  </si>
  <si>
    <t>جنجي</t>
  </si>
  <si>
    <t>Kabrok village</t>
  </si>
  <si>
    <t>قرية كبروك</t>
  </si>
  <si>
    <t>Kanona Village</t>
  </si>
  <si>
    <t>قرية كانونة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</si>
  <si>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</si>
  <si>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</si>
  <si>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</si>
  <si>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</si>
  <si>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</si>
  <si>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</si>
  <si>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</si>
  <si>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</si>
  <si>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</si>
  <si>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</si>
  <si>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</si>
  <si>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</si>
  <si>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</si>
  <si>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</si>
  <si>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</si>
  <si>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</si>
  <si>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</si>
  <si>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</si>
  <si>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موصل</t>
  </si>
  <si>
    <t>Naanaah village</t>
  </si>
  <si>
    <t>قرية النعناعة</t>
  </si>
  <si>
    <t>Nabi Younis</t>
  </si>
  <si>
    <t>حي النبي يونس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</si>
  <si>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</si>
  <si>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</si>
  <si>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</si>
  <si>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</si>
  <si>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</si>
  <si>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</si>
  <si>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</si>
  <si>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</si>
  <si>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</si>
  <si>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</si>
  <si>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Saf al-tut Village</t>
  </si>
  <si>
    <t>قرية صف التوت</t>
  </si>
  <si>
    <t>Sayyid Hamed Village</t>
  </si>
  <si>
    <t>قرية سيد حامد</t>
  </si>
  <si>
    <t>Sedawa Village</t>
  </si>
  <si>
    <t>قرية سيداوة</t>
  </si>
  <si>
    <t>Seewiya Village</t>
  </si>
  <si>
    <t>قرية الصعيوية</t>
  </si>
  <si>
    <t>Shura Center</t>
  </si>
  <si>
    <t>الشورى</t>
  </si>
  <si>
    <t>Shwerat Village</t>
  </si>
  <si>
    <t>قرية الشويرات</t>
  </si>
  <si>
    <t>Tal-Alshaeer Village</t>
  </si>
  <si>
    <t>قرية تل الشعير</t>
  </si>
  <si>
    <t>Teba-Village</t>
  </si>
  <si>
    <t>قرية طيبة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</si>
  <si>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</si>
  <si>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</si>
  <si>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</si>
  <si>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</si>
  <si>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</si>
  <si>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</si>
  <si>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</si>
  <si>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</si>
  <si>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Tlul Nasir Village</t>
  </si>
  <si>
    <t>قرية تلول ناصر</t>
  </si>
  <si>
    <t>Tobzawa Village</t>
  </si>
  <si>
    <t>قرية طوبزاوة</t>
  </si>
  <si>
    <t>Sinjar</t>
  </si>
  <si>
    <t>Adika</t>
  </si>
  <si>
    <t>اديكا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</si>
  <si>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</si>
  <si>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</si>
  <si>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</si>
  <si>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</si>
  <si>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</si>
  <si>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</si>
  <si>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</si>
  <si>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</si>
  <si>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</si>
  <si>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</si>
  <si>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</si>
  <si>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</si>
  <si>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</si>
  <si>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</si>
  <si>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</si>
  <si>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</si>
  <si>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</si>
  <si>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</si>
  <si>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</si>
  <si>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</si>
  <si>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</si>
  <si>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</si>
  <si>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</si>
  <si>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</si>
  <si>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</si>
  <si>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</si>
  <si>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</si>
  <si>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</si>
  <si>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</si>
  <si>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</si>
  <si>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</si>
  <si>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Hay Al Naser</t>
  </si>
  <si>
    <t>حي النصر</t>
  </si>
  <si>
    <t>Hay Alqadseya</t>
  </si>
  <si>
    <t>حي القادسية</t>
  </si>
  <si>
    <t>Hay Alshuhada</t>
  </si>
  <si>
    <t>Hay Azadi</t>
  </si>
  <si>
    <t>حي ازادي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</si>
  <si>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</si>
  <si>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</si>
  <si>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</si>
  <si>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</si>
  <si>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</si>
  <si>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</si>
  <si>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</si>
  <si>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</si>
  <si>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</si>
  <si>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</si>
  <si>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</si>
  <si>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</si>
  <si>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</si>
  <si>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</si>
  <si>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</si>
  <si>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</si>
  <si>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</si>
  <si>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</si>
  <si>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</si>
  <si>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</si>
  <si>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</si>
  <si>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</si>
  <si>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</si>
  <si>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</si>
  <si>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</si>
  <si>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</si>
  <si>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</si>
  <si>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</si>
  <si>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</si>
  <si>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</si>
  <si>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</si>
  <si>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</si>
  <si>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</si>
  <si>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</si>
  <si>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</si>
  <si>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</si>
  <si>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</si>
  <si>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</si>
  <si>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</si>
  <si>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</si>
  <si>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</si>
  <si>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</si>
  <si>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</si>
  <si>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</si>
  <si>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</si>
  <si>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</si>
  <si>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Ain Hilwa Upper</t>
  </si>
  <si>
    <t>قرية عين حلوة العليا</t>
  </si>
  <si>
    <t>Ain Zalah</t>
  </si>
  <si>
    <t xml:space="preserve">عين زاله </t>
  </si>
  <si>
    <t>Al Mafri</t>
  </si>
  <si>
    <t>قرية مفري</t>
  </si>
  <si>
    <t>Albawtha vilage</t>
  </si>
  <si>
    <t>قرية البوثة</t>
  </si>
  <si>
    <t>Alemudia vilage</t>
  </si>
  <si>
    <t>قرية العامودية</t>
  </si>
  <si>
    <t>قرية بئر عكلة</t>
  </si>
  <si>
    <t>Domez complex</t>
  </si>
  <si>
    <t>مجمع دوميز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</si>
  <si>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</si>
  <si>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</si>
  <si>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</si>
  <si>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</si>
  <si>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</si>
  <si>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</si>
  <si>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</si>
  <si>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</si>
  <si>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Gul Mohamed village</t>
  </si>
  <si>
    <t>قرية كول محمد</t>
  </si>
  <si>
    <t>Hay Al Arbaeen</t>
  </si>
  <si>
    <t>حي الاربعين</t>
  </si>
  <si>
    <t>Hay Al laban</t>
  </si>
  <si>
    <t>حي اللبن</t>
  </si>
  <si>
    <t>Hay Al Muthana</t>
  </si>
  <si>
    <t>حي المثنى</t>
  </si>
  <si>
    <t>Hay Al Qadisya</t>
  </si>
  <si>
    <t>Hay Al Salam</t>
  </si>
  <si>
    <t>Hay Al Sikak</t>
  </si>
  <si>
    <t>حي السكك</t>
  </si>
  <si>
    <t>Hay Al Uroba</t>
  </si>
  <si>
    <t>Hay Al-Mualemen</t>
  </si>
  <si>
    <t>حي المعلمين</t>
  </si>
  <si>
    <t>Hay Alasreya</t>
  </si>
  <si>
    <t>حي العصرية</t>
  </si>
  <si>
    <t>Hay althahabe</t>
  </si>
  <si>
    <t>الحي الذهبي</t>
  </si>
  <si>
    <t>Hdeimh</t>
  </si>
  <si>
    <t>قرية هضمية</t>
  </si>
  <si>
    <t>Hokna</t>
  </si>
  <si>
    <t>قرية حكنه</t>
  </si>
  <si>
    <t>jadida</t>
  </si>
  <si>
    <t>قرية جديده</t>
  </si>
  <si>
    <t>Jussa</t>
  </si>
  <si>
    <t>قرية جصة</t>
  </si>
  <si>
    <t>Kahreez</t>
  </si>
  <si>
    <t>كهريز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</si>
  <si>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</si>
  <si>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</si>
  <si>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</si>
  <si>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</si>
  <si>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</si>
  <si>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</si>
  <si>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Karsur vilage</t>
  </si>
  <si>
    <t>قرية كرصور</t>
  </si>
  <si>
    <t>Kharab Alteben</t>
  </si>
  <si>
    <t>Kharabat Ashiq</t>
  </si>
  <si>
    <t>kirver village</t>
  </si>
  <si>
    <t>قرية كرفر</t>
  </si>
  <si>
    <t>Mashraf</t>
  </si>
  <si>
    <t>مشرف</t>
  </si>
  <si>
    <t>Msherfa Village</t>
  </si>
  <si>
    <t>قرية مشيرفة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</si>
  <si>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</si>
  <si>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</si>
  <si>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</si>
  <si>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</si>
  <si>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</si>
  <si>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</si>
  <si>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</si>
  <si>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</si>
  <si>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</si>
  <si>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</si>
  <si>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Salihiat alrawia vilage</t>
  </si>
  <si>
    <t>قرية صالحية الراوية</t>
  </si>
  <si>
    <t>Tal aldhdhahab</t>
  </si>
  <si>
    <t>تل الذهب</t>
  </si>
  <si>
    <t>Tal alhuaa</t>
  </si>
  <si>
    <t>Tal Hial vilage</t>
  </si>
  <si>
    <t>قرية تل حيال</t>
  </si>
  <si>
    <t>Tal Ismair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</si>
  <si>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</si>
  <si>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</si>
  <si>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</si>
  <si>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</si>
  <si>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</si>
  <si>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</si>
  <si>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Tel shor</t>
  </si>
  <si>
    <t>قرية تل الشور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</si>
  <si>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</si>
  <si>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</si>
  <si>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</si>
  <si>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</si>
  <si>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</si>
  <si>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</si>
  <si>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</si>
  <si>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</si>
  <si>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</si>
  <si>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</si>
  <si>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</si>
  <si>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</si>
  <si>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</si>
  <si>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chaqlow Village</t>
  </si>
  <si>
    <t>قرية جقلو</t>
  </si>
  <si>
    <t>Derston</t>
  </si>
  <si>
    <t xml:space="preserve">دير ستون </t>
  </si>
  <si>
    <t>Manara</t>
  </si>
  <si>
    <t>منارة</t>
  </si>
  <si>
    <t>Mosul Dam</t>
  </si>
  <si>
    <t xml:space="preserve">مشروع سد الموصل </t>
  </si>
  <si>
    <t>Sada Area</t>
  </si>
  <si>
    <t>منطقة السادة</t>
  </si>
  <si>
    <t>Shwedij Village</t>
  </si>
  <si>
    <t>قرية شويدج</t>
  </si>
  <si>
    <t>Tal Adas</t>
  </si>
  <si>
    <t>تل عدس</t>
  </si>
  <si>
    <t>Tallsquf</t>
  </si>
  <si>
    <t>تللسقف</t>
  </si>
  <si>
    <t>Tilkaif Center</t>
  </si>
  <si>
    <t>مركز تلكيف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</si>
  <si>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</si>
  <si>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</si>
  <si>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</si>
  <si>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</si>
  <si>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</si>
  <si>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</si>
  <si>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</si>
  <si>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</si>
  <si>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</si>
  <si>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</si>
  <si>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حي العبور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</si>
  <si>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</si>
  <si>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</si>
  <si>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</si>
  <si>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</si>
  <si>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</si>
  <si>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</si>
  <si>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Alsharqiah-Mahalla 112</t>
  </si>
  <si>
    <t>حي الشرقية محلة 112</t>
  </si>
  <si>
    <t>Hay Mohammad Aldorri-Mhalla 107</t>
  </si>
  <si>
    <t>محمد الدري محلة 107</t>
  </si>
  <si>
    <t>Hay Tal Al Banat</t>
  </si>
  <si>
    <t>حي تل البنات</t>
  </si>
  <si>
    <t>Al-Fares</t>
  </si>
  <si>
    <t>قرية البوفدعوس</t>
  </si>
  <si>
    <t>قرية بزنة</t>
  </si>
  <si>
    <t>Al-Shirqat</t>
  </si>
  <si>
    <t>Al Fajir village(Al Tasni)</t>
  </si>
  <si>
    <t>قرية الفجر</t>
  </si>
  <si>
    <t>حي الجميلة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</si>
  <si>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</si>
  <si>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</si>
  <si>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</si>
  <si>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</si>
  <si>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</si>
  <si>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</si>
  <si>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</si>
  <si>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</si>
  <si>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</si>
  <si>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</si>
  <si>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Al-Jafr Al-Har village</t>
  </si>
  <si>
    <t>قرية الجفر الحار</t>
  </si>
  <si>
    <t>قرية الخصم القديمة</t>
  </si>
  <si>
    <t>Al-Musehly Village</t>
  </si>
  <si>
    <t>قرية المسيحلي</t>
  </si>
  <si>
    <t>Al-Qalaa Village</t>
  </si>
  <si>
    <t>Al-Qudus</t>
  </si>
  <si>
    <t>Al-Swedan Village</t>
  </si>
  <si>
    <t>قرية سويدان</t>
  </si>
  <si>
    <t>حاوي بعاجه حاوي-حضر</t>
  </si>
  <si>
    <t>Hay Al Qasbah</t>
  </si>
  <si>
    <t>حي القصبة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</si>
  <si>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</si>
  <si>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</si>
  <si>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</si>
  <si>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</si>
  <si>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</si>
  <si>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</si>
  <si>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</si>
  <si>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Qaryat Al Sabkha</t>
  </si>
  <si>
    <t>قرية الصبخة</t>
  </si>
  <si>
    <t>Sudayrah Village</t>
  </si>
  <si>
    <t>قرية السديرة</t>
  </si>
  <si>
    <t>Tal Al Jumiala area</t>
  </si>
  <si>
    <t xml:space="preserve">تل بعاجة 1 وتل اجميلة 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</si>
  <si>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</si>
  <si>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</si>
  <si>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</si>
  <si>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</si>
  <si>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</si>
  <si>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</si>
  <si>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Al Mazraa Village</t>
  </si>
  <si>
    <t>قرية المزرعة</t>
  </si>
  <si>
    <t>Al Mushhaq Village</t>
  </si>
  <si>
    <t>قرية المسحك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</si>
  <si>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</si>
  <si>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</si>
  <si>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</si>
  <si>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</si>
  <si>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</si>
  <si>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Malha village</t>
  </si>
  <si>
    <t xml:space="preserve">قرية الملحة </t>
  </si>
  <si>
    <t>Qaryat Al Sareen</t>
  </si>
  <si>
    <t>Balad</t>
  </si>
  <si>
    <t>Al-Duloeyah-Hay Al Jubor</t>
  </si>
  <si>
    <t>محلة الجبور الاولى</t>
  </si>
  <si>
    <t>Al-Duloeyah-Hay khazraj</t>
  </si>
  <si>
    <t>محلة خزرج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</si>
  <si>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</si>
  <si>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</si>
  <si>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</si>
  <si>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</si>
  <si>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</si>
  <si>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</si>
  <si>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</si>
  <si>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 xml:space="preserve">Yathrib sub distrct </t>
  </si>
  <si>
    <t>ناحية يثرب</t>
  </si>
  <si>
    <t>Samarra</t>
  </si>
  <si>
    <t>Al Sayoya-Mahala 1</t>
  </si>
  <si>
    <t>Al-Abasiya Village</t>
  </si>
  <si>
    <t>قرية العباسية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</si>
  <si>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</si>
  <si>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</si>
  <si>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</si>
  <si>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</si>
  <si>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</si>
  <si>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</si>
  <si>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</si>
  <si>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</si>
  <si>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</si>
  <si>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Hawi Albsat</t>
  </si>
  <si>
    <t>مقاطعة 27 حاوى البساط</t>
  </si>
  <si>
    <t>Mahalla Makeshfa</t>
  </si>
  <si>
    <t>Tikrit</t>
  </si>
  <si>
    <t>حي المطاردة(قادسية2)مقاطعة 7 محله 218 – قطعه 500</t>
  </si>
  <si>
    <t>Al Ahad Al Jadid village</t>
  </si>
  <si>
    <t>قرية العهد الجديد</t>
  </si>
  <si>
    <t>Al Bzikhah Village</t>
  </si>
  <si>
    <t>قرية البزيخة</t>
  </si>
  <si>
    <t>Al Haweja village-AlAbady</t>
  </si>
  <si>
    <t>قرية الحويجة-العبادي</t>
  </si>
  <si>
    <t>Al khuzamiya Village</t>
  </si>
  <si>
    <t>قرية الخزامية</t>
  </si>
  <si>
    <t>Al Mahzam village</t>
  </si>
  <si>
    <t>قرية المحزم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</si>
  <si>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</si>
  <si>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</si>
  <si>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</si>
  <si>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</si>
  <si>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</si>
  <si>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</si>
  <si>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</si>
  <si>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</si>
  <si>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</si>
  <si>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</si>
  <si>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</si>
  <si>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</si>
  <si>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قرية الصافية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</si>
  <si>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</si>
  <si>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</si>
  <si>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</si>
  <si>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</si>
  <si>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</si>
  <si>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</si>
  <si>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قرية حماد شهاب</t>
  </si>
  <si>
    <t>حي الاربعين-محله 414</t>
  </si>
  <si>
    <t>Hay Al Asry Al Jadid-404</t>
  </si>
  <si>
    <t>Hay Al baladiyah</t>
  </si>
  <si>
    <t>حي البلدية-م(27-الخرجة والعالي)</t>
  </si>
  <si>
    <t>Hay Al Jamiyah</t>
  </si>
  <si>
    <t>حي الجمعية-2</t>
  </si>
  <si>
    <t>حي الجمعية-محله 418</t>
  </si>
  <si>
    <t>Hay Al sinay-Al samad</t>
  </si>
  <si>
    <t>Hay Al-Quthat</t>
  </si>
  <si>
    <t>حي القضاة</t>
  </si>
  <si>
    <t>Hay Al-Sikak</t>
  </si>
  <si>
    <t>حي الصقور</t>
  </si>
  <si>
    <t>Hay Al-Wihda</t>
  </si>
  <si>
    <t>Hay Alfirdous</t>
  </si>
  <si>
    <t>حي الفردوس(البو عبيد)مقاطعة-5 محلة 428</t>
  </si>
  <si>
    <t>Hay Alkahrbaa</t>
  </si>
  <si>
    <t>حي الكهرباء</t>
  </si>
  <si>
    <t>Hay Alqalaa</t>
  </si>
  <si>
    <t>حي القلعة(6-تكريت)محلة 405</t>
  </si>
  <si>
    <t>حي التجنيد</t>
  </si>
  <si>
    <t>Hay Alziraa</t>
  </si>
  <si>
    <t>حي الزراعة</t>
  </si>
  <si>
    <t>حي سلمى التغلبيه-محله 401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</si>
  <si>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</si>
  <si>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</si>
  <si>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</si>
  <si>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</si>
  <si>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</si>
  <si>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Qaryat Erbaidha</t>
  </si>
  <si>
    <t>قرية أربيضة</t>
  </si>
  <si>
    <t>حي المطاردة(قادسية1)مقاطعة 7-محله 214</t>
  </si>
  <si>
    <t>حي المطاردة(قادسية2)مقاطعة 7-محله 216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</si>
  <si>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</si>
  <si>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</si>
  <si>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</si>
  <si>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</si>
  <si>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</si>
  <si>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</si>
  <si>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</si>
  <si>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</si>
  <si>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</si>
  <si>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</si>
  <si>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</si>
  <si>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</si>
  <si>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</si>
  <si>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</si>
  <si>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</si>
  <si>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</si>
  <si>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</si>
  <si>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</si>
  <si>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</si>
  <si>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</si>
  <si>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</si>
  <si>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</si>
  <si>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Sabaa Tamoz</t>
  </si>
  <si>
    <t>حي سبعة تموز</t>
  </si>
  <si>
    <t>Hay Wahid Huzayran</t>
  </si>
  <si>
    <t>حي واحد حزيران</t>
  </si>
  <si>
    <t>Qara Naz village</t>
  </si>
  <si>
    <t>قرية قرناز</t>
  </si>
  <si>
    <t>الخضراء</t>
  </si>
  <si>
    <t>قرية الهويجر</t>
  </si>
  <si>
    <t>Al Rafwash village</t>
  </si>
  <si>
    <t>قرية الرفوش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</si>
  <si>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</si>
  <si>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</si>
  <si>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</si>
  <si>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</si>
  <si>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Azez Al Ghaffar-(Al Jomblatiya Southern)</t>
  </si>
  <si>
    <t>قرية العزيز الغفار-الجمبلاطية الجنوبية</t>
  </si>
  <si>
    <t>Al Fatwan village-Al Jomblatiya Northern)</t>
  </si>
  <si>
    <t>قرية الفتوان-الجمبلاطية الشمالية</t>
  </si>
  <si>
    <t>Al Imam Ali village-(Al Jomblatiya Southern)</t>
  </si>
  <si>
    <t>قرية الامام علي-الجمبلاطية الجنوبية</t>
  </si>
  <si>
    <t>Al Jawai Al Janoobi village-(Al harkawai Northen )</t>
  </si>
  <si>
    <t>قرية الجاوي الجنوبي-الحركاوي الشمالية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</si>
  <si>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</si>
  <si>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</si>
  <si>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</si>
  <si>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</si>
  <si>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قرية المغيث-الجمبلاطية الجنوبية</t>
  </si>
  <si>
    <t>Al Baydha Village</t>
  </si>
  <si>
    <t>قرية البيضاء</t>
  </si>
  <si>
    <t>Al-Abassy center</t>
  </si>
  <si>
    <t>مركز العباسي</t>
  </si>
  <si>
    <t>Al-zab</t>
  </si>
  <si>
    <t>Dabes</t>
  </si>
  <si>
    <t>Al-Rashad center</t>
  </si>
  <si>
    <t>مركز الرشاد</t>
  </si>
  <si>
    <t>Karamless</t>
  </si>
  <si>
    <t>كرمليس</t>
  </si>
  <si>
    <t>Qara Shour</t>
  </si>
  <si>
    <t>قرية قرة شور</t>
  </si>
  <si>
    <t>Al-Amilah Village</t>
  </si>
  <si>
    <t>قرية الاميلح</t>
  </si>
  <si>
    <t>Mlihta Al-Shrqia Village</t>
  </si>
  <si>
    <t>قرية مليحة الشرقية</t>
  </si>
  <si>
    <t>Mmdoh Al-hassan Village</t>
  </si>
  <si>
    <t>قرية ممدوح الحسان</t>
  </si>
  <si>
    <t>Zaaziaa Village</t>
  </si>
  <si>
    <t>قرية زعيزيعة</t>
  </si>
  <si>
    <t>Al-bosaif Village</t>
  </si>
  <si>
    <t>قرية البوسيف</t>
  </si>
  <si>
    <t>Al-rabaa Village</t>
  </si>
  <si>
    <t>قرية الربيع</t>
  </si>
  <si>
    <t>Al-shrifat Village</t>
  </si>
  <si>
    <t>قرية الشريفات</t>
  </si>
  <si>
    <t>Gori ghariban</t>
  </si>
  <si>
    <t>قرية كوري غريبان</t>
  </si>
  <si>
    <t>Muhalabya center</t>
  </si>
  <si>
    <t>مركز المحلبية</t>
  </si>
  <si>
    <t>Al Nsireya</t>
  </si>
  <si>
    <t>قرية النصيرية</t>
  </si>
  <si>
    <t>Hardan and Girshabak</t>
  </si>
  <si>
    <t>حردان + كرشبك</t>
  </si>
  <si>
    <t>Abu Wajna</t>
  </si>
  <si>
    <t>ابو وجنه</t>
  </si>
  <si>
    <t>abu wni</t>
  </si>
  <si>
    <t>قرية أبو وني</t>
  </si>
  <si>
    <t>Al-Aashig Al-Thania Village</t>
  </si>
  <si>
    <t>قرية العاشق الثانية</t>
  </si>
  <si>
    <t>amla</t>
  </si>
  <si>
    <t>قرية عمله</t>
  </si>
  <si>
    <t>Ashiq</t>
  </si>
  <si>
    <t xml:space="preserve">العاشق </t>
  </si>
  <si>
    <t>Jamrud</t>
  </si>
  <si>
    <t>جمروت</t>
  </si>
  <si>
    <t>Qadisih</t>
  </si>
  <si>
    <t>القادسيه</t>
  </si>
  <si>
    <t>Sahlij</t>
  </si>
  <si>
    <t>قرية سهلج</t>
  </si>
  <si>
    <t>Shindukhah</t>
  </si>
  <si>
    <t>قرية شندوخه</t>
  </si>
  <si>
    <t>Sleha</t>
  </si>
  <si>
    <t>قرية سليحه</t>
  </si>
  <si>
    <t>Tal Alsimn Village</t>
  </si>
  <si>
    <t>Tal Khidr</t>
  </si>
  <si>
    <t>تل خضر</t>
  </si>
  <si>
    <t>Tel Reem</t>
  </si>
  <si>
    <t>تل الريم</t>
  </si>
  <si>
    <t>Al-Jaghyifah Village</t>
  </si>
  <si>
    <t>قرية الجغايفة</t>
  </si>
  <si>
    <t>Al-Mashhad Village</t>
  </si>
  <si>
    <t>قرية المشهد</t>
  </si>
  <si>
    <t>Al-Nayfah Village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</si>
  <si>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</si>
  <si>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</si>
  <si>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</si>
  <si>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</si>
  <si>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</si>
  <si>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</si>
  <si>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Al-Talaah Village</t>
  </si>
  <si>
    <t>قرة الطالعة</t>
  </si>
  <si>
    <t>Awegylah Village</t>
  </si>
  <si>
    <t>قرية عويجيلة</t>
  </si>
  <si>
    <t>Ein Hiyawy Village</t>
  </si>
  <si>
    <t>Ghader Al-Shouk Village</t>
  </si>
  <si>
    <t>قرية غدير الشوك</t>
  </si>
  <si>
    <t>Lizaqah Village</t>
  </si>
  <si>
    <t>قرية اللزاكة</t>
  </si>
  <si>
    <t>Qunytrah Village</t>
  </si>
  <si>
    <t>قرية القنيطرة</t>
  </si>
  <si>
    <t>Sudayrah Aulya Village</t>
  </si>
  <si>
    <t>قرية سديره عليا</t>
  </si>
  <si>
    <t>Sudayrah Tak Tak Village</t>
  </si>
  <si>
    <t>قرية سديره طك طك</t>
  </si>
  <si>
    <t>Sudayrah Westa Village</t>
  </si>
  <si>
    <t>قرية سديره وسطى</t>
  </si>
  <si>
    <t>Tal Al-Farah Village</t>
  </si>
  <si>
    <t>Wadi Al-Shouk Village</t>
  </si>
  <si>
    <t>قرية وادي الشوك</t>
  </si>
  <si>
    <t>Hay Aqsu</t>
  </si>
  <si>
    <t>حي اقصو</t>
  </si>
  <si>
    <t>Markaz Tooz-Hay Al Hussien 124</t>
  </si>
  <si>
    <t>محلة 124 الحسين</t>
  </si>
  <si>
    <t>Markaz Tooz-Hay Imam Ahmed</t>
  </si>
  <si>
    <t>حي امام احمد</t>
  </si>
  <si>
    <t>Albu Shbeeb</t>
  </si>
  <si>
    <t>البوشبيب</t>
  </si>
  <si>
    <t>Zakho</t>
  </si>
  <si>
    <t>فيشخابور</t>
  </si>
  <si>
    <t>قرية شلالة</t>
  </si>
  <si>
    <t>Al Qasimiyah Village</t>
  </si>
  <si>
    <t>قرية القاسمية</t>
  </si>
  <si>
    <t>Al-Abasiyah Village</t>
  </si>
  <si>
    <t>Al-Ghaziyah Village</t>
  </si>
  <si>
    <t xml:space="preserve">قرية الغازية </t>
  </si>
  <si>
    <t>Al-Zahidiyah Village</t>
  </si>
  <si>
    <t>قرية الزهدية</t>
  </si>
  <si>
    <t>Amina Village</t>
  </si>
  <si>
    <t>قرية الامينية</t>
  </si>
  <si>
    <t>Imam ismail</t>
  </si>
  <si>
    <t>Nafilah Village</t>
  </si>
  <si>
    <t>قرية نافلة</t>
  </si>
  <si>
    <t>Qabzoua Village</t>
  </si>
  <si>
    <t xml:space="preserve">قرية قبزوعة </t>
  </si>
  <si>
    <t>Shawook</t>
  </si>
  <si>
    <t>قرية شاووك</t>
  </si>
  <si>
    <t>Tal ali Village</t>
  </si>
  <si>
    <t>قرية تل علي</t>
  </si>
  <si>
    <t>Tall Al-Ghul Village</t>
  </si>
  <si>
    <t>قرية تل جول</t>
  </si>
  <si>
    <t>حي الانتفاضة-رابرين-(القادسية سابقا) اول</t>
  </si>
  <si>
    <t>Amal al shaabi</t>
  </si>
  <si>
    <t>حي العمل الشعبي</t>
  </si>
  <si>
    <t>Darwaza</t>
  </si>
  <si>
    <t>دروازة</t>
  </si>
  <si>
    <t>Hay 1 Athar</t>
  </si>
  <si>
    <t>حي 1 اذار</t>
  </si>
  <si>
    <t>Hay Al mas</t>
  </si>
  <si>
    <t>حي الماس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</si>
  <si>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</si>
  <si>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</si>
  <si>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</si>
  <si>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</si>
  <si>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</si>
  <si>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</si>
  <si>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</si>
  <si>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</si>
  <si>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Hay Ghurnata</t>
  </si>
  <si>
    <t>حي غرناطة</t>
  </si>
  <si>
    <t>Hay Musalla</t>
  </si>
  <si>
    <t>حي المصلى</t>
  </si>
  <si>
    <t>Panja Ali</t>
  </si>
  <si>
    <t>Quriya</t>
  </si>
  <si>
    <t>حي القورية</t>
  </si>
  <si>
    <t>Rahim Awa</t>
  </si>
  <si>
    <t>Runaki</t>
  </si>
  <si>
    <t>Sary Kahya</t>
  </si>
  <si>
    <t>Sekanyan</t>
  </si>
  <si>
    <t>سيكانيان</t>
  </si>
  <si>
    <t>Shorawo</t>
  </si>
  <si>
    <t>شوراو</t>
  </si>
  <si>
    <t>Shwan Center</t>
  </si>
  <si>
    <t>Al-boughime Village</t>
  </si>
  <si>
    <t>قرية البوجهيمي</t>
  </si>
  <si>
    <t>Al-rogaae Al-shrqia Village</t>
  </si>
  <si>
    <t>قرية الركعي الشرقية</t>
  </si>
  <si>
    <t>Al-rogaae Al-wsta Village</t>
  </si>
  <si>
    <t>قرية الركعي الوسطى</t>
  </si>
  <si>
    <t>Getan Village</t>
  </si>
  <si>
    <t>قرية كطيان</t>
  </si>
  <si>
    <t>Ghioa Village</t>
  </si>
  <si>
    <t>قرية كهيوة</t>
  </si>
  <si>
    <t>Imshirfa Village</t>
  </si>
  <si>
    <t>Isloby Village</t>
  </si>
  <si>
    <t>قرية أصلبي</t>
  </si>
  <si>
    <t>khrezz Village</t>
  </si>
  <si>
    <t>قرية كهريز</t>
  </si>
  <si>
    <t>Rmothaniat Al-rdin Village</t>
  </si>
  <si>
    <t>قرية رمضانيات الردن</t>
  </si>
  <si>
    <t>Aarhaia Village</t>
  </si>
  <si>
    <t>قرية ارحية</t>
  </si>
  <si>
    <t>Ahmedat Village</t>
  </si>
  <si>
    <t>قرية حميدات</t>
  </si>
  <si>
    <t>Al-jmassa Village</t>
  </si>
  <si>
    <t>Badosh Al-thania Village</t>
  </si>
  <si>
    <t>قرية بادوش الثانية</t>
  </si>
  <si>
    <t>Tel Al-raes Al-awola Village</t>
  </si>
  <si>
    <t>قرية تل الريس الثانية</t>
  </si>
  <si>
    <t>قرية تل الريس الاولى</t>
  </si>
  <si>
    <t>قرية ابو ماريا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</si>
  <si>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</si>
  <si>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</si>
  <si>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</si>
  <si>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</si>
  <si>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</si>
  <si>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</si>
  <si>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Al Askaree</t>
  </si>
  <si>
    <t>Al Haara</t>
  </si>
  <si>
    <t>Antesar</t>
  </si>
  <si>
    <t>Gharb Al-Wadi</t>
  </si>
  <si>
    <t>Hay Al-Matar</t>
  </si>
  <si>
    <t>Al Abbah</t>
  </si>
  <si>
    <t>Al Shuhadaa 2</t>
  </si>
  <si>
    <t>Al-Azrakih</t>
  </si>
  <si>
    <t>Al-Falahat</t>
  </si>
  <si>
    <t>Al-Rufa</t>
  </si>
  <si>
    <t>Al-shahabi-1</t>
  </si>
  <si>
    <t>Al-shahabi-2</t>
  </si>
  <si>
    <t>Al-Zuwayiah</t>
  </si>
  <si>
    <t>Albu Aifan</t>
  </si>
  <si>
    <t>Albu Jasim-Karma</t>
  </si>
  <si>
    <t>Albu Shejel</t>
  </si>
  <si>
    <t>Albu Uakash</t>
  </si>
  <si>
    <t>الحلابسة الكرمة</t>
  </si>
  <si>
    <t>Halabsa-Falluja</t>
  </si>
  <si>
    <t>Neeamiya</t>
  </si>
  <si>
    <t>Qaryat Albu Hadid Al-Nasir</t>
  </si>
  <si>
    <t>Albu Hayat</t>
  </si>
  <si>
    <t>Hay Al-Subhani</t>
  </si>
  <si>
    <t>Hay K 28</t>
  </si>
  <si>
    <t>Al-Mujama Al-Sakani</t>
  </si>
  <si>
    <t>Hay Al Khadraa</t>
  </si>
  <si>
    <t>Hay Al-Etfaa</t>
  </si>
  <si>
    <t>Hay Al-Quds</t>
  </si>
  <si>
    <t>5 Kilo</t>
  </si>
  <si>
    <t>7 Killo-al-mojamaa al-sakany</t>
  </si>
  <si>
    <t>Abu Fless</t>
  </si>
  <si>
    <t>Al Sofeya</t>
  </si>
  <si>
    <t>Al Urobah</t>
  </si>
  <si>
    <t>Al-Hamidhiyah</t>
  </si>
  <si>
    <t>Qadisiya-2</t>
  </si>
  <si>
    <t>Zoyaha Al-Thuban</t>
  </si>
  <si>
    <t>Abdallah al Kadhim-(Al Harkawai Northen )</t>
  </si>
  <si>
    <t>قرية عبد الله الكاظم-الحركاوي الشمالية</t>
  </si>
  <si>
    <t>Al Forat l village-(Al Harkawi Southern)</t>
  </si>
  <si>
    <t xml:space="preserve">Al Rasheediya Village </t>
  </si>
  <si>
    <t>قرية الرشدية</t>
  </si>
  <si>
    <t>قرية الفرات-الرشدية</t>
  </si>
  <si>
    <t>Kilo 31</t>
  </si>
  <si>
    <t>كيلو 31</t>
  </si>
  <si>
    <t>Fishkhaboor</t>
  </si>
  <si>
    <t>Al Rmelat Village</t>
  </si>
  <si>
    <t>Al-Arabdah Village</t>
  </si>
  <si>
    <t>Al-Makareen Village</t>
  </si>
  <si>
    <t>Al-Mashroo Village</t>
  </si>
  <si>
    <t>Al-Sadah Village</t>
  </si>
  <si>
    <t>Ali Abdulla village</t>
  </si>
  <si>
    <t>Dalli Abass-Al-Dhobat Qtr</t>
  </si>
  <si>
    <t>Dalli Abass-Al-Shuhada Qtr</t>
  </si>
  <si>
    <t>دلي عباس-حي الشهداء</t>
  </si>
  <si>
    <t>Dalli Abass-Kurd Ali</t>
  </si>
  <si>
    <t>دلي عباس-كرد علي</t>
  </si>
  <si>
    <t>Dawod Al-Salom village</t>
  </si>
  <si>
    <t>Al Taleaa 2 Qtr 3</t>
  </si>
  <si>
    <t>Al Taleaa 2 Qtr 4</t>
  </si>
  <si>
    <t>Al Taleaa 2 Qtr 5</t>
  </si>
  <si>
    <t>Jomila Village</t>
  </si>
  <si>
    <t>قرية جميلة</t>
  </si>
  <si>
    <t>Gwer</t>
  </si>
  <si>
    <t>كوير</t>
  </si>
  <si>
    <t>Al-Eisalaniyah Village</t>
  </si>
  <si>
    <t>قرية العيصلانية</t>
  </si>
  <si>
    <t>Al-Hawiga-Al Hawija cenetr</t>
  </si>
  <si>
    <t>مركز الحويجة</t>
  </si>
  <si>
    <t>Al-Jubooria Village</t>
  </si>
  <si>
    <t>قرية الجبورية</t>
  </si>
  <si>
    <t>Al-Khaldia</t>
  </si>
  <si>
    <t>قرية الخالدية</t>
  </si>
  <si>
    <t>مركز ناحية الزاب</t>
  </si>
  <si>
    <t>Ash shareaa</t>
  </si>
  <si>
    <t>قرية الشريعة</t>
  </si>
  <si>
    <t>Bakara Village</t>
  </si>
  <si>
    <t>قرية البكارة</t>
  </si>
  <si>
    <t>Bassel Village</t>
  </si>
  <si>
    <t>قرية البسل</t>
  </si>
  <si>
    <t>قرية امام اسماعيل</t>
  </si>
  <si>
    <t>Lazaga</t>
  </si>
  <si>
    <t>قرية لزاكة</t>
  </si>
  <si>
    <t>Sabbaghiya</t>
  </si>
  <si>
    <t>قرية صباغية</t>
  </si>
  <si>
    <t>Shajara village</t>
  </si>
  <si>
    <t>قرية الشجرة</t>
  </si>
  <si>
    <t>Zrariya</t>
  </si>
  <si>
    <t>قرية زرارية</t>
  </si>
  <si>
    <t>Dabes Center</t>
  </si>
  <si>
    <t>مركز قضاء الدبس</t>
  </si>
  <si>
    <t>Fareeq Awa</t>
  </si>
  <si>
    <t>حي فريق اوه</t>
  </si>
  <si>
    <t>Hay Al Motajawizeen</t>
  </si>
  <si>
    <t>حي منطقة متجاوزين</t>
  </si>
  <si>
    <t>Hay Ashti</t>
  </si>
  <si>
    <t>حي آشتي</t>
  </si>
  <si>
    <t>Hay Gulan</t>
  </si>
  <si>
    <t>حي كولان</t>
  </si>
  <si>
    <t>Nawroz</t>
  </si>
  <si>
    <t>حي نوروز</t>
  </si>
  <si>
    <t>Al Faylaq-Mahala 5</t>
  </si>
  <si>
    <t>حي الفيلق-5</t>
  </si>
  <si>
    <t>Al Hurriyah</t>
  </si>
  <si>
    <t>حي الحرية</t>
  </si>
  <si>
    <t>Al Maratah</t>
  </si>
  <si>
    <t>قرية مراطة</t>
  </si>
  <si>
    <t>Al Nasiriyah village</t>
  </si>
  <si>
    <t>قرية الناصرية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</si>
  <si>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</si>
  <si>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</si>
  <si>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</si>
  <si>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</si>
  <si>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</si>
  <si>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</si>
  <si>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Al-Qadisssiya(Rabareen) first</t>
  </si>
  <si>
    <t>Al-Qadisssiya(Rabareen) seconad</t>
  </si>
  <si>
    <t>حي الانتفاضة-رابرين-(القادسية سابقا) ثاني</t>
  </si>
  <si>
    <t>Brima village</t>
  </si>
  <si>
    <t>قرية بريمة</t>
  </si>
  <si>
    <t>Hay Al Nassir</t>
  </si>
  <si>
    <t>عرفة</t>
  </si>
  <si>
    <t>Hay Rasheed(Domiz)</t>
  </si>
  <si>
    <t>حي الرشيد-دوميز-</t>
  </si>
  <si>
    <t>بنجه علي</t>
  </si>
  <si>
    <t>Qwaz Arab village</t>
  </si>
  <si>
    <t xml:space="preserve">قرية كواز عرب </t>
  </si>
  <si>
    <t>Qwaz Kurad village</t>
  </si>
  <si>
    <t>قرية كواز كورد</t>
  </si>
  <si>
    <t>رحيم اوه</t>
  </si>
  <si>
    <t>حي روناكي</t>
  </si>
  <si>
    <t>حي صاري كهيه</t>
  </si>
  <si>
    <t>Sheikh Mezher Al-Asi Village</t>
  </si>
  <si>
    <t>قرية شيخ مزهر العاصي</t>
  </si>
  <si>
    <t>مركز ناحية شوان</t>
  </si>
  <si>
    <t>AL-Ani Village</t>
  </si>
  <si>
    <t>قرية العاني</t>
  </si>
  <si>
    <t>Al-Wadi Al-Ahmar Village</t>
  </si>
  <si>
    <t>قرية الوادي الاحمر</t>
  </si>
  <si>
    <t>Ashkech Village</t>
  </si>
  <si>
    <t>قرية اشكيج</t>
  </si>
  <si>
    <t>Khabaza Gharbiyah Village</t>
  </si>
  <si>
    <t>قرية خبازة الغربية</t>
  </si>
  <si>
    <t>Khabaza Sharqiya Village</t>
  </si>
  <si>
    <t>قرية خبازة الشرقية</t>
  </si>
  <si>
    <t>Khirbat Hammad Village</t>
  </si>
  <si>
    <t>قرية خربة حماد</t>
  </si>
  <si>
    <t>Mreka Village</t>
  </si>
  <si>
    <t>قرية مريكة</t>
  </si>
  <si>
    <t>Abu Fishka Village</t>
  </si>
  <si>
    <t>قرية ابو فشكة</t>
  </si>
  <si>
    <t>الجواعنة</t>
  </si>
  <si>
    <t>Al-Asbieh Village</t>
  </si>
  <si>
    <t>قرية الاصيبح</t>
  </si>
  <si>
    <t>Al-Bellona Village</t>
  </si>
  <si>
    <t>قرية البيلونة</t>
  </si>
  <si>
    <t>Al-maflakah Village</t>
  </si>
  <si>
    <t>قرية المفلكة</t>
  </si>
  <si>
    <t>Al-Masayid Village</t>
  </si>
  <si>
    <t>قرية المصايد</t>
  </si>
  <si>
    <t>Al-Miftiyah Village</t>
  </si>
  <si>
    <t>قرية المفتية</t>
  </si>
  <si>
    <t>Al-Minkar Village</t>
  </si>
  <si>
    <t>قرية المنكار</t>
  </si>
  <si>
    <t>Al-Rikrak Village</t>
  </si>
  <si>
    <t>قرية الركراك</t>
  </si>
  <si>
    <t>Al-Ziftiyah VIllage</t>
  </si>
  <si>
    <t>قرية الزفتية</t>
  </si>
  <si>
    <t>Athathah Village</t>
  </si>
  <si>
    <t>قرية عثعثة</t>
  </si>
  <si>
    <t>Harada Village</t>
  </si>
  <si>
    <t>قرية حرادة</t>
  </si>
  <si>
    <t>Hay Alnasr</t>
  </si>
  <si>
    <t>Tasah Village</t>
  </si>
  <si>
    <t>قرية الطسة</t>
  </si>
  <si>
    <t>Tofaha Sharqiya Village</t>
  </si>
  <si>
    <t>قرية تفاحة شرقية</t>
  </si>
  <si>
    <t>Borek</t>
  </si>
  <si>
    <t>قرية ابوخشب</t>
  </si>
  <si>
    <t>Abu Mariya</t>
  </si>
  <si>
    <t>Al-Jazera Village</t>
  </si>
  <si>
    <t>قرية الجزيره</t>
  </si>
  <si>
    <t>Alsawfih</t>
  </si>
  <si>
    <t>قرية صوفيه</t>
  </si>
  <si>
    <t>Barzan</t>
  </si>
  <si>
    <t>قرية برزان</t>
  </si>
  <si>
    <t>Biir eakla vilage</t>
  </si>
  <si>
    <t>Dabashih Village</t>
  </si>
  <si>
    <t xml:space="preserve">قرية دبشية </t>
  </si>
  <si>
    <t>Eayan Alturs</t>
  </si>
  <si>
    <t>قرية عين الفرس</t>
  </si>
  <si>
    <t>Eayan manie</t>
  </si>
  <si>
    <t>قرية عين مانع</t>
  </si>
  <si>
    <t>Girchal village</t>
  </si>
  <si>
    <t>قرية كرجال</t>
  </si>
  <si>
    <t>Gisari</t>
  </si>
  <si>
    <t xml:space="preserve">قرية جيساري </t>
  </si>
  <si>
    <t>Humur Eafin</t>
  </si>
  <si>
    <t>قرية حمر عفين</t>
  </si>
  <si>
    <t>Karakafir Village</t>
  </si>
  <si>
    <t>قرية كاركافر</t>
  </si>
  <si>
    <t>قرية خراب التبن</t>
  </si>
  <si>
    <t>قرية خرابت عاشق</t>
  </si>
  <si>
    <t>Mueaskar Ayen Zalh</t>
  </si>
  <si>
    <t>معسكر عين زاله</t>
  </si>
  <si>
    <t xml:space="preserve">Musifinah </t>
  </si>
  <si>
    <t>قرية مصيفنه</t>
  </si>
  <si>
    <t>Tabibat Alriyah</t>
  </si>
  <si>
    <t xml:space="preserve">قرية طيبة الرياح </t>
  </si>
  <si>
    <t>قرية تل الهوى</t>
  </si>
  <si>
    <t>قرية تل سمير</t>
  </si>
  <si>
    <t>Telafar-Al Noor</t>
  </si>
  <si>
    <t>Al-Mistah</t>
  </si>
  <si>
    <t>المسطاح</t>
  </si>
  <si>
    <t>Diwasa</t>
  </si>
  <si>
    <t>قرية دواسة</t>
  </si>
  <si>
    <t>Dwanish</t>
  </si>
  <si>
    <t>قرية الدوانش</t>
  </si>
  <si>
    <t>Kerij</t>
  </si>
  <si>
    <t>كرج</t>
  </si>
  <si>
    <t>Kharab shatani</t>
  </si>
  <si>
    <t>خرابة شطاني</t>
  </si>
  <si>
    <t>Mesrig Gaded</t>
  </si>
  <si>
    <t>مصرج جديد</t>
  </si>
  <si>
    <t>Qara-Kharab</t>
  </si>
  <si>
    <t>قره خراب</t>
  </si>
  <si>
    <t>Tall Mashraf</t>
  </si>
  <si>
    <t>قرية تل مشرف</t>
  </si>
  <si>
    <t>Telhemyan</t>
  </si>
  <si>
    <t>تلهميان</t>
  </si>
  <si>
    <t>Trro</t>
  </si>
  <si>
    <t>قرية طرو</t>
  </si>
  <si>
    <t>Albo Fadaus Village</t>
  </si>
  <si>
    <t>Bezna Village</t>
  </si>
  <si>
    <t>قرية النايفة</t>
  </si>
  <si>
    <t>Ali Al Nada complex</t>
  </si>
  <si>
    <t>مجمع علي الندا</t>
  </si>
  <si>
    <t>Baaja</t>
  </si>
  <si>
    <t>قرية عين حياوي</t>
  </si>
  <si>
    <t>Hay Al Jumiala</t>
  </si>
  <si>
    <t>Hay Al-Khasim Al-Qadem village</t>
  </si>
  <si>
    <t>Qaryat Mujamma Al Waleed</t>
  </si>
  <si>
    <t>قرية مجمع الوليد</t>
  </si>
  <si>
    <t>قرية تل الفارة</t>
  </si>
  <si>
    <t>مقاطعة 13 الحجاج والجيسات-قرية الحجاج</t>
  </si>
  <si>
    <t>Albu Tuama Village</t>
  </si>
  <si>
    <t>قرية البوطعمة</t>
  </si>
  <si>
    <t>مقاطعة 13 الحجاج والجيسات قرية الصرين</t>
  </si>
  <si>
    <t>Al-Juboor Village</t>
  </si>
  <si>
    <t>محلة الصعيوية-1</t>
  </si>
  <si>
    <t>مقاطعة 9 الجزيرة(الجزءالجنوبي)</t>
  </si>
  <si>
    <t>محلة مكيشفة</t>
  </si>
  <si>
    <t>Al Baladiyat-402</t>
  </si>
  <si>
    <t>البلديات-402</t>
  </si>
  <si>
    <t>Al Karama Village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</si>
  <si>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</si>
  <si>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</si>
  <si>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</si>
  <si>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</si>
  <si>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</si>
  <si>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Hammad Shihab</t>
  </si>
  <si>
    <t>Hay 100 dar</t>
  </si>
  <si>
    <t>حي 100 دار</t>
  </si>
  <si>
    <t>Hay Al Anwaa Mahala 420</t>
  </si>
  <si>
    <t>حي الانواء-محلة 420</t>
  </si>
  <si>
    <t>حي العصري-محلة 404</t>
  </si>
  <si>
    <t>Hay Al Mualimeen-406</t>
  </si>
  <si>
    <t>حي المعلمين محلة-406</t>
  </si>
  <si>
    <t>حي الصناعي-م(51-المجرة وتل رجيم)قرية الصمد</t>
  </si>
  <si>
    <t>Hay AL Suqour</t>
  </si>
  <si>
    <t>Hay Al Zuhour-422</t>
  </si>
  <si>
    <t>حي الزهور محلة-422</t>
  </si>
  <si>
    <t>Hay Al-Tajneed</t>
  </si>
  <si>
    <t>Hay Alarbaen</t>
  </si>
  <si>
    <t>Hay Aldiuom</t>
  </si>
  <si>
    <t>حي الديوم-مقاطعة 211-ديوم تكريت</t>
  </si>
  <si>
    <t>Hay Aljamiyaa</t>
  </si>
  <si>
    <t>Hay Salma Altaghlubia</t>
  </si>
  <si>
    <t>Hay Sheshen Mahal 408</t>
  </si>
  <si>
    <t>Qadisya 1 Mahala 214</t>
  </si>
  <si>
    <t>Qadisya 2 500 Area</t>
  </si>
  <si>
    <t>Qadisya 2 Mahala 216</t>
  </si>
  <si>
    <t>Markaz Tooz-Hay Brayati</t>
  </si>
  <si>
    <t>محلة برايتي</t>
  </si>
  <si>
    <t xml:space="preserve">Tapa Sawz Village </t>
  </si>
  <si>
    <t>قرية تبة سوز</t>
  </si>
  <si>
    <t>DTM : Returnee Master List Date 15-12-2017</t>
  </si>
  <si>
    <t>Albo Akoll</t>
  </si>
  <si>
    <t>البوعاكول</t>
  </si>
  <si>
    <t>Albu Shihab</t>
  </si>
  <si>
    <t>Al Kroash village</t>
  </si>
  <si>
    <t>قرية الكروش</t>
  </si>
  <si>
    <t>Al Darij village</t>
  </si>
  <si>
    <t>قرية الدريج</t>
  </si>
  <si>
    <t>Al Daba village-Al harkawai Northen )</t>
  </si>
  <si>
    <t>قرية الضبع-الحركاوي الشمالية</t>
  </si>
  <si>
    <t>قرية الفرات-الحركاوي الجنوبية</t>
  </si>
  <si>
    <t>Albu Moufarrej Village</t>
  </si>
  <si>
    <t>قرية البو مفرج</t>
  </si>
  <si>
    <t>Al-Dhaheria village</t>
  </si>
  <si>
    <t>قرية الظاهرية</t>
  </si>
  <si>
    <t>Al-Faakhra village</t>
  </si>
  <si>
    <t>قرية الفاخرة</t>
  </si>
  <si>
    <t>Al-Khatoonia</t>
  </si>
  <si>
    <t>قرية الخاتونية</t>
  </si>
  <si>
    <t>Al-Kyfah village</t>
  </si>
  <si>
    <t>قرية الكفاح</t>
  </si>
  <si>
    <t>Al-Mahdia Village</t>
  </si>
  <si>
    <t>قرية المهدية</t>
  </si>
  <si>
    <t>Al-Mansuriyah (Abu Asshak ) village</t>
  </si>
  <si>
    <t>قرية المنصورية ( البو اسحاك )</t>
  </si>
  <si>
    <t>Al-Namalah village</t>
  </si>
  <si>
    <t>قرية نملة</t>
  </si>
  <si>
    <t>Aliawa Village</t>
  </si>
  <si>
    <t>قرية علياوة</t>
  </si>
  <si>
    <t>Aliya Village</t>
  </si>
  <si>
    <t>قرية عالية</t>
  </si>
  <si>
    <t>Ethriban village</t>
  </si>
  <si>
    <t>قرية اذربان</t>
  </si>
  <si>
    <t>Hawd Sittah village</t>
  </si>
  <si>
    <t>قرية حوض ستة</t>
  </si>
  <si>
    <t>Noasheen Sadda village</t>
  </si>
  <si>
    <t>قرية نويشين سادة</t>
  </si>
  <si>
    <t>Shalala Village</t>
  </si>
  <si>
    <t>Altun Kupri Center</t>
  </si>
  <si>
    <t>مركز ناحية التون كوبري</t>
  </si>
  <si>
    <t>Badawa</t>
  </si>
  <si>
    <t>بداوة</t>
  </si>
  <si>
    <t>Balkanah village</t>
  </si>
  <si>
    <t>قرية بلكانة</t>
  </si>
  <si>
    <t>Furqan village</t>
  </si>
  <si>
    <t>قرية الفرقان</t>
  </si>
  <si>
    <t>Karakstanvillage</t>
  </si>
  <si>
    <t>قرية كركستان</t>
  </si>
  <si>
    <t>Khala Bazyani</t>
  </si>
  <si>
    <t>خاله بازياني</t>
  </si>
  <si>
    <t>Khaled bin Waleed village</t>
  </si>
  <si>
    <t>قرية خالد بن الوليد</t>
  </si>
  <si>
    <t>Saad Bin Waqqas village</t>
  </si>
  <si>
    <t>قرية سعد بن الوقاص</t>
  </si>
  <si>
    <t>Salihi village</t>
  </si>
  <si>
    <t>قرية الصالحي</t>
  </si>
  <si>
    <t>Tarjil village</t>
  </si>
  <si>
    <t>قرية ترجيل</t>
  </si>
  <si>
    <t>Wahda village</t>
  </si>
  <si>
    <t>قرية الوحدة</t>
  </si>
  <si>
    <t>Abu Sakhra village</t>
  </si>
  <si>
    <t>قرية ابو صخرة</t>
  </si>
  <si>
    <t>Al-Dookmat Al-Kabira village</t>
  </si>
  <si>
    <t>قرية الدوكمات الكبيرة</t>
  </si>
  <si>
    <t>Karha Rufaiaa village</t>
  </si>
  <si>
    <t>قرية كرحة رفيعة</t>
  </si>
  <si>
    <t>Al-Asraj Al-Sharqiyah Village</t>
  </si>
  <si>
    <t>قرية الاسرج الشرقية</t>
  </si>
  <si>
    <t>Al-Asraj Village</t>
  </si>
  <si>
    <t>قرية الاسرج</t>
  </si>
  <si>
    <t>Tal abta</t>
  </si>
  <si>
    <t>تل عبطة</t>
  </si>
  <si>
    <t>Tarteea abd alkarem Village</t>
  </si>
  <si>
    <t>قرية طرطيعة عبدالكريم</t>
  </si>
  <si>
    <t>Tarteea Al-Hermas Village</t>
  </si>
  <si>
    <t>قرية طرطيعة الهرماس</t>
  </si>
  <si>
    <t>Al-Bghala Village</t>
  </si>
  <si>
    <t>قرية البغلة</t>
  </si>
  <si>
    <t>Al-Salam Village</t>
  </si>
  <si>
    <t>Al-Shahed Adnan</t>
  </si>
  <si>
    <t>الشهيد عدنان</t>
  </si>
  <si>
    <t>Al-Shahed Mauof</t>
  </si>
  <si>
    <t>الشهيد معيوف</t>
  </si>
  <si>
    <t>Al-Thalja Village</t>
  </si>
  <si>
    <t>قرية الثلجة</t>
  </si>
  <si>
    <t>Albweer Village</t>
  </si>
  <si>
    <t>قرية البوير</t>
  </si>
  <si>
    <t>Alzanazil Village</t>
  </si>
  <si>
    <t>قرية الزنازل</t>
  </si>
  <si>
    <t>Arab Loh Village</t>
  </si>
  <si>
    <t>قرية غرب لوح</t>
  </si>
  <si>
    <t>Halabiya Village</t>
  </si>
  <si>
    <t>قرية حلبية</t>
  </si>
  <si>
    <t>Miezela Village</t>
  </si>
  <si>
    <t>قرية معيزيلة</t>
  </si>
  <si>
    <t>Mrazen Village</t>
  </si>
  <si>
    <t>قرية مرازين</t>
  </si>
  <si>
    <t>Rihaniya</t>
  </si>
  <si>
    <t>الريحانية</t>
  </si>
  <si>
    <t>Karbir</t>
  </si>
  <si>
    <t>كربير</t>
  </si>
  <si>
    <t>Sahilah Village</t>
  </si>
  <si>
    <t>سحيله</t>
  </si>
  <si>
    <t>Tashta Village</t>
  </si>
  <si>
    <t>قرية طشتة</t>
  </si>
  <si>
    <t>Baqofa</t>
  </si>
  <si>
    <t>باقوفا</t>
  </si>
  <si>
    <t>Al Namel Village</t>
  </si>
  <si>
    <t>قرية النمل</t>
  </si>
  <si>
    <t>AlSalman Village</t>
  </si>
  <si>
    <t>Markaz Baiji</t>
  </si>
  <si>
    <t>مركز بيجي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</si>
</sst>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#"/>
    <numFmt numFmtId="165" formatCode="[$-10409]#,##0.0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9" fillId="0" borderId="17" xfId="0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49" fontId="5" fillId="0" borderId="16" xfId="0" applyNumberFormat="1" applyFont="1" applyFill="1" applyBorder="1" applyAlignment="1">
      <alignment horizontal="left" vertical="top" wrapText="1" readingOrder="1"/>
    </xf>
    <xf numFmtId="49" fontId="4" fillId="3" borderId="10" xfId="0" applyNumberFormat="1" applyFont="1" applyFill="1" applyBorder="1" applyAlignment="1">
      <alignment horizontal="center" vertical="center" wrapText="1" readingOrder="1"/>
    </xf>
    <xf numFmtId="49" fontId="4" fillId="5" borderId="1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4" fillId="5" borderId="13" xfId="0" applyNumberFormat="1" applyFont="1" applyFill="1" applyBorder="1" applyAlignment="1">
      <alignment horizontal="center" vertical="top" wrapText="1" readingOrder="1"/>
    </xf>
    <xf numFmtId="0" fontId="4" fillId="5" borderId="14" xfId="0" applyNumberFormat="1" applyFont="1" applyFill="1" applyBorder="1" applyAlignment="1">
      <alignment horizontal="center" vertical="top" wrapText="1" readingOrder="1"/>
    </xf>
    <xf numFmtId="0" fontId="4" fillId="5" borderId="15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68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8" width="11.7109375" bestFit="1" customWidth="1"/>
    <col min="9" max="9" width="14" bestFit="1" customWidth="1"/>
    <col min="10" max="10" width="10" bestFit="1" customWidth="1"/>
    <col min="11" max="11" width="11.85546875" bestFit="1" customWidth="1"/>
    <col min="12" max="12" width="12.42578125" bestFit="1" customWidth="1"/>
    <col min="13" max="13" width="10.85546875" bestFit="1" customWidth="1"/>
    <col min="14" max="14" width="10.42578125" bestFit="1" customWidth="1"/>
    <col min="15" max="15" width="10.140625" bestFit="1" customWidth="1"/>
    <col min="16" max="16" width="9" bestFit="1" customWidth="1"/>
    <col min="17" max="17" width="11.28515625" bestFit="1" customWidth="1"/>
    <col min="18" max="18" width="10.42578125" bestFit="1" customWidth="1"/>
    <col min="19" max="19" width="10.85546875" bestFit="1" customWidth="1"/>
    <col min="20" max="20" width="13.140625" bestFit="1" customWidth="1"/>
    <col min="21" max="21" width="9.42578125" bestFit="1" customWidth="1"/>
    <col min="22" max="22" width="11" bestFit="1" customWidth="1"/>
    <col min="23" max="23" width="12.85546875" bestFit="1" customWidth="1"/>
    <col min="24" max="24" width="14.7109375" bestFit="1" customWidth="1"/>
    <col min="25" max="25" width="16.140625" bestFit="1" customWidth="1"/>
    <col min="26" max="26" width="11" bestFit="1" customWidth="1"/>
    <col min="27" max="27" width="10.7109375" bestFit="1" customWidth="1"/>
    <col min="28" max="28" width="9.85546875" bestFit="1" customWidth="1"/>
    <col min="29" max="29" width="12.85546875" bestFit="1" customWidth="1"/>
    <col min="30" max="30" width="11.7109375" bestFit="1" customWidth="1"/>
    <col min="31" max="31" width="14.140625" bestFit="1" customWidth="1"/>
    <col min="32" max="32" width="14.28515625" bestFit="1" customWidth="1"/>
    <col min="33" max="33" width="14.42578125" bestFit="1" customWidth="1"/>
    <col min="34" max="34" width="13.140625" bestFit="1" customWidth="1"/>
    <col min="35" max="35" width="11.42578125" bestFit="1" customWidth="1"/>
    <col min="36" max="36" width="12" bestFit="1" customWidth="1"/>
    <col min="37" max="37" width="21.140625" bestFit="1" customWidth="1"/>
    <col min="38" max="39" width="14.42578125" bestFit="1" customWidth="1"/>
    <col min="40" max="40" width="15.140625" bestFit="1" customWidth="1"/>
    <col min="41" max="41" width="13.140625" bestFit="1" customWidth="1"/>
    <col min="42" max="42" width="19.85546875" bestFit="1" customWidth="1"/>
    <col min="43" max="43" width="19.28515625" bestFit="1" customWidth="1"/>
    <col min="44" max="46" width="19.28515625" style="19" customWidth="1"/>
    <col min="47" max="47" width="15" bestFit="1" customWidth="1"/>
    <col min="48" max="48" width="11.42578125" bestFit="1" customWidth="1"/>
    <col min="49" max="49" width="12.7109375" bestFit="1" customWidth="1"/>
  </cols>
  <sheetData>
    <row r="1" spans="1:49" ht="21" customHeight="1" x14ac:dyDescent="0.25">
      <c r="A1" s="58" t="s">
        <v>2071</v>
      </c>
      <c r="B1" s="58"/>
      <c r="C1" s="58"/>
      <c r="D1" s="58"/>
      <c r="E1" s="58"/>
    </row>
    <row r="2" spans="1:49" s="19" customFormat="1" ht="10.35" customHeight="1" x14ac:dyDescent="0.25">
      <c r="A2" s="21"/>
      <c r="B2" s="22"/>
      <c r="C2" s="22"/>
      <c r="D2" s="22"/>
    </row>
    <row r="3" spans="1:49" ht="15" customHeight="1" x14ac:dyDescent="0.25">
      <c r="A3" s="61" t="s">
        <v>65</v>
      </c>
      <c r="B3" s="61"/>
      <c r="C3" s="61"/>
      <c r="D3" s="61"/>
      <c r="E3" s="61"/>
      <c r="F3" s="61"/>
      <c r="G3" s="61"/>
      <c r="H3" s="34"/>
      <c r="I3" s="34"/>
      <c r="J3" s="59" t="s">
        <v>1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 t="s">
        <v>2</v>
      </c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3" t="s">
        <v>3</v>
      </c>
      <c r="AN3" s="64"/>
      <c r="AO3" s="64"/>
      <c r="AP3" s="64"/>
      <c r="AQ3" s="64"/>
      <c r="AR3" s="64"/>
      <c r="AS3" s="64"/>
      <c r="AT3" s="65"/>
      <c r="AU3" s="62" t="s">
        <v>57</v>
      </c>
      <c r="AV3" s="62"/>
      <c r="AW3" s="62"/>
    </row>
    <row r="4" spans="1:49" ht="25.5" x14ac:dyDescent="0.25">
      <c r="A4" s="29" t="s">
        <v>62</v>
      </c>
      <c r="B4" s="29" t="s">
        <v>4</v>
      </c>
      <c r="C4" s="29" t="s">
        <v>5</v>
      </c>
      <c r="D4" s="29" t="s">
        <v>63</v>
      </c>
      <c r="E4" s="29" t="s">
        <v>64</v>
      </c>
      <c r="F4" s="29" t="s">
        <v>6</v>
      </c>
      <c r="G4" s="29" t="s">
        <v>7</v>
      </c>
      <c r="H4" s="35" t="s">
        <v>55</v>
      </c>
      <c r="I4" s="35" t="s">
        <v>56</v>
      </c>
      <c r="J4" s="36" t="s">
        <v>8</v>
      </c>
      <c r="K4" s="36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6" t="s">
        <v>15</v>
      </c>
      <c r="R4" s="36" t="s">
        <v>16</v>
      </c>
      <c r="S4" s="36" t="s">
        <v>17</v>
      </c>
      <c r="T4" s="36" t="s">
        <v>18</v>
      </c>
      <c r="U4" s="36" t="s">
        <v>19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25</v>
      </c>
      <c r="AB4" s="29" t="s">
        <v>26</v>
      </c>
      <c r="AC4" s="29" t="s">
        <v>34</v>
      </c>
      <c r="AD4" s="29" t="s">
        <v>28</v>
      </c>
      <c r="AE4" s="29" t="s">
        <v>33</v>
      </c>
      <c r="AF4" s="29" t="s">
        <v>32</v>
      </c>
      <c r="AG4" s="29" t="s">
        <v>35</v>
      </c>
      <c r="AH4" s="29" t="s">
        <v>30</v>
      </c>
      <c r="AI4" s="29" t="s">
        <v>27</v>
      </c>
      <c r="AJ4" s="29" t="s">
        <v>29</v>
      </c>
      <c r="AK4" s="29" t="s">
        <v>61</v>
      </c>
      <c r="AL4" s="29" t="s">
        <v>36</v>
      </c>
      <c r="AM4" s="37" t="s">
        <v>66</v>
      </c>
      <c r="AN4" s="37" t="s">
        <v>67</v>
      </c>
      <c r="AO4" s="37" t="s">
        <v>68</v>
      </c>
      <c r="AP4" s="37" t="s">
        <v>69</v>
      </c>
      <c r="AQ4" s="37" t="s">
        <v>70</v>
      </c>
      <c r="AR4" s="41" t="s">
        <v>71</v>
      </c>
      <c r="AS4" s="41" t="s">
        <v>75</v>
      </c>
      <c r="AT4" s="54" t="s">
        <v>79</v>
      </c>
      <c r="AU4" s="39" t="s">
        <v>58</v>
      </c>
      <c r="AV4" s="39" t="s">
        <v>59</v>
      </c>
      <c r="AW4" s="39" t="s">
        <v>60</v>
      </c>
    </row>
    <row r="5" spans="1:49" x14ac:dyDescent="0.25">
      <c r="A5" s="31">
        <v>165</v>
      </c>
      <c r="B5" s="32" t="s">
        <v>8</v>
      </c>
      <c r="C5" s="32" t="s">
        <v>80</v>
      </c>
      <c r="D5" s="32" t="s">
        <v>1786</v>
      </c>
      <c r="E5" s="32" t="s">
        <v>90</v>
      </c>
      <c r="F5" s="32">
        <v>33.038952000000002</v>
      </c>
      <c r="G5" s="32">
        <v>40.277075000000004</v>
      </c>
      <c r="H5" s="33">
        <v>188</v>
      </c>
      <c r="I5" s="33">
        <v>1128</v>
      </c>
      <c r="J5" s="33"/>
      <c r="K5" s="33"/>
      <c r="L5" s="33"/>
      <c r="M5" s="33"/>
      <c r="N5" s="33"/>
      <c r="O5" s="33"/>
      <c r="P5" s="33">
        <v>75</v>
      </c>
      <c r="Q5" s="33"/>
      <c r="R5" s="33">
        <v>113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>
        <v>188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>
        <v>188</v>
      </c>
      <c r="AO5" s="33"/>
      <c r="AP5" s="33"/>
      <c r="AQ5" s="33"/>
      <c r="AR5" s="33"/>
      <c r="AS5" s="33"/>
      <c r="AT5" s="33"/>
      <c r="AU5" s="38" t="str">
        <f>HYPERLINK("http://www.openstreetmap.org/?mlat=33.039&amp;mlon=40.2771&amp;zoom=12#map=12/33.039/40.2771","Maplink1")</f>
        <v>Maplink1</v>
      </c>
      <c r="AV5" s="38" t="str">
        <f>HYPERLINK("https://www.google.iq/maps/search/+33.039,40.2771/@33.039,40.2771,14z?hl=en","Maplink2")</f>
        <v>Maplink2</v>
      </c>
      <c r="AW5" s="38" t="str">
        <f>HYPERLINK("http://www.bing.com/maps/?lvl=14&amp;sty=h&amp;cp=33.039~40.2771&amp;sp=point.33.039_40.2771","Maplink3")</f>
        <v>Maplink3</v>
      </c>
    </row>
    <row r="6" spans="1:49" x14ac:dyDescent="0.25">
      <c r="A6" s="9">
        <v>150</v>
      </c>
      <c r="B6" s="10" t="s">
        <v>8</v>
      </c>
      <c r="C6" s="10" t="s">
        <v>80</v>
      </c>
      <c r="D6" s="10" t="s">
        <v>1787</v>
      </c>
      <c r="E6" s="10" t="s">
        <v>81</v>
      </c>
      <c r="F6" s="10">
        <v>33.038459000000003</v>
      </c>
      <c r="G6" s="10">
        <v>40.293291000000004</v>
      </c>
      <c r="H6" s="11">
        <v>524</v>
      </c>
      <c r="I6" s="11">
        <v>3144</v>
      </c>
      <c r="J6" s="11">
        <v>91</v>
      </c>
      <c r="K6" s="11"/>
      <c r="L6" s="11">
        <v>240</v>
      </c>
      <c r="M6" s="11"/>
      <c r="N6" s="11"/>
      <c r="O6" s="11"/>
      <c r="P6" s="11">
        <v>193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>
        <v>524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>
        <v>401</v>
      </c>
      <c r="AO6" s="11"/>
      <c r="AP6" s="11">
        <v>32</v>
      </c>
      <c r="AQ6" s="11"/>
      <c r="AR6" s="11">
        <v>91</v>
      </c>
      <c r="AS6" s="11"/>
      <c r="AT6" s="11"/>
      <c r="AU6" s="20" t="str">
        <f>HYPERLINK("http://www.openstreetmap.org/?mlat=33.0385&amp;mlon=40.2933&amp;zoom=12#map=12/33.0385/40.2933","Maplink1")</f>
        <v>Maplink1</v>
      </c>
      <c r="AV6" s="20" t="str">
        <f>HYPERLINK("https://www.google.iq/maps/search/+33.0385,40.2933/@33.0385,40.2933,14z?hl=en","Maplink2")</f>
        <v>Maplink2</v>
      </c>
      <c r="AW6" s="20" t="str">
        <f>HYPERLINK("http://www.bing.com/maps/?lvl=14&amp;sty=h&amp;cp=33.0385~40.2933&amp;sp=point.33.0385_40.2933","Maplink3")</f>
        <v>Maplink3</v>
      </c>
    </row>
    <row r="7" spans="1:49" x14ac:dyDescent="0.25">
      <c r="A7" s="9">
        <v>231</v>
      </c>
      <c r="B7" s="10" t="s">
        <v>8</v>
      </c>
      <c r="C7" s="10" t="s">
        <v>80</v>
      </c>
      <c r="D7" s="10" t="s">
        <v>83</v>
      </c>
      <c r="E7" s="10" t="s">
        <v>84</v>
      </c>
      <c r="F7" s="10">
        <v>33.036414000000001</v>
      </c>
      <c r="G7" s="10">
        <v>40.284368999999998</v>
      </c>
      <c r="H7" s="11">
        <v>344</v>
      </c>
      <c r="I7" s="11">
        <v>2064</v>
      </c>
      <c r="J7" s="11"/>
      <c r="K7" s="11"/>
      <c r="L7" s="11">
        <v>100</v>
      </c>
      <c r="M7" s="11"/>
      <c r="N7" s="11"/>
      <c r="O7" s="11"/>
      <c r="P7" s="11">
        <v>244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344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>
        <v>100</v>
      </c>
      <c r="AO7" s="11"/>
      <c r="AP7" s="11">
        <v>244</v>
      </c>
      <c r="AQ7" s="11"/>
      <c r="AR7" s="11"/>
      <c r="AS7" s="11"/>
      <c r="AT7" s="11"/>
      <c r="AU7" s="20" t="str">
        <f>HYPERLINK("http://www.openstreetmap.org/?mlat=33.0364&amp;mlon=40.2844&amp;zoom=12#map=12/33.0364/40.2844","Maplink1")</f>
        <v>Maplink1</v>
      </c>
      <c r="AV7" s="20" t="str">
        <f>HYPERLINK("https://www.google.iq/maps/search/+33.0364,40.2844/@33.0364,40.2844,14z?hl=en","Maplink2")</f>
        <v>Maplink2</v>
      </c>
      <c r="AW7" s="20" t="str">
        <f>HYPERLINK("http://www.bing.com/maps/?lvl=14&amp;sty=h&amp;cp=33.0364~40.2844&amp;sp=point.33.0364_40.2844","Maplink3")</f>
        <v>Maplink3</v>
      </c>
    </row>
    <row r="8" spans="1:49" x14ac:dyDescent="0.25">
      <c r="A8" s="9">
        <v>23935</v>
      </c>
      <c r="B8" s="10" t="s">
        <v>8</v>
      </c>
      <c r="C8" s="10" t="s">
        <v>80</v>
      </c>
      <c r="D8" s="10" t="s">
        <v>85</v>
      </c>
      <c r="E8" s="10" t="s">
        <v>86</v>
      </c>
      <c r="F8" s="10">
        <v>33.038586000000002</v>
      </c>
      <c r="G8" s="10">
        <v>40.285558000000002</v>
      </c>
      <c r="H8" s="11">
        <v>388</v>
      </c>
      <c r="I8" s="11">
        <v>2328</v>
      </c>
      <c r="J8" s="11"/>
      <c r="K8" s="11"/>
      <c r="L8" s="11">
        <v>170</v>
      </c>
      <c r="M8" s="11"/>
      <c r="N8" s="11"/>
      <c r="O8" s="11"/>
      <c r="P8" s="11">
        <v>218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388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>
        <v>170</v>
      </c>
      <c r="AO8" s="11"/>
      <c r="AP8" s="11">
        <v>218</v>
      </c>
      <c r="AQ8" s="11"/>
      <c r="AR8" s="11"/>
      <c r="AS8" s="11"/>
      <c r="AT8" s="11"/>
      <c r="AU8" s="20" t="str">
        <f>HYPERLINK("http://www.openstreetmap.org/?mlat=33.0386&amp;mlon=40.2856&amp;zoom=12#map=12/33.0386/40.2856","Maplink1")</f>
        <v>Maplink1</v>
      </c>
      <c r="AV8" s="20" t="str">
        <f>HYPERLINK("https://www.google.iq/maps/search/+33.0386,40.2856/@33.0386,40.2856,14z?hl=en","Maplink2")</f>
        <v>Maplink2</v>
      </c>
      <c r="AW8" s="20" t="str">
        <f>HYPERLINK("http://www.bing.com/maps/?lvl=14&amp;sty=h&amp;cp=33.0386~40.2856&amp;sp=point.33.0386_40.2856","Maplink3")</f>
        <v>Maplink3</v>
      </c>
    </row>
    <row r="9" spans="1:49" x14ac:dyDescent="0.25">
      <c r="A9" s="9">
        <v>167</v>
      </c>
      <c r="B9" s="10" t="s">
        <v>8</v>
      </c>
      <c r="C9" s="10" t="s">
        <v>80</v>
      </c>
      <c r="D9" s="10" t="s">
        <v>1788</v>
      </c>
      <c r="E9" s="10" t="s">
        <v>82</v>
      </c>
      <c r="F9" s="10">
        <v>33.041953999999997</v>
      </c>
      <c r="G9" s="10">
        <v>40.275979999999997</v>
      </c>
      <c r="H9" s="11">
        <v>965</v>
      </c>
      <c r="I9" s="11">
        <v>5790</v>
      </c>
      <c r="J9" s="11">
        <v>370</v>
      </c>
      <c r="K9" s="11"/>
      <c r="L9" s="11">
        <v>381</v>
      </c>
      <c r="M9" s="11"/>
      <c r="N9" s="11"/>
      <c r="O9" s="11"/>
      <c r="P9" s="11">
        <v>46</v>
      </c>
      <c r="Q9" s="11"/>
      <c r="R9" s="11">
        <v>143</v>
      </c>
      <c r="S9" s="11"/>
      <c r="T9" s="11"/>
      <c r="U9" s="11"/>
      <c r="V9" s="11"/>
      <c r="W9" s="11"/>
      <c r="X9" s="11"/>
      <c r="Y9" s="11">
        <v>25</v>
      </c>
      <c r="Z9" s="11"/>
      <c r="AA9" s="11"/>
      <c r="AB9" s="11"/>
      <c r="AC9" s="11">
        <v>965</v>
      </c>
      <c r="AD9" s="11"/>
      <c r="AE9" s="11"/>
      <c r="AF9" s="11"/>
      <c r="AG9" s="11"/>
      <c r="AH9" s="11"/>
      <c r="AI9" s="11"/>
      <c r="AJ9" s="11"/>
      <c r="AK9" s="11"/>
      <c r="AL9" s="11"/>
      <c r="AM9" s="11">
        <v>230</v>
      </c>
      <c r="AN9" s="11">
        <v>201</v>
      </c>
      <c r="AO9" s="11"/>
      <c r="AP9" s="11">
        <v>164</v>
      </c>
      <c r="AQ9" s="11"/>
      <c r="AR9" s="11">
        <v>370</v>
      </c>
      <c r="AS9" s="11"/>
      <c r="AT9" s="11"/>
      <c r="AU9" s="20" t="str">
        <f>HYPERLINK("http://www.openstreetmap.org/?mlat=33.042&amp;mlon=40.276&amp;zoom=12#map=12/33.042/40.276","Maplink1")</f>
        <v>Maplink1</v>
      </c>
      <c r="AV9" s="20" t="str">
        <f>HYPERLINK("https://www.google.iq/maps/search/+33.042,40.276/@33.042,40.276,14z?hl=en","Maplink2")</f>
        <v>Maplink2</v>
      </c>
      <c r="AW9" s="20" t="str">
        <f>HYPERLINK("http://www.bing.com/maps/?lvl=14&amp;sty=h&amp;cp=33.042~40.276&amp;sp=point.33.042_40.276","Maplink3")</f>
        <v>Maplink3</v>
      </c>
    </row>
    <row r="10" spans="1:49" x14ac:dyDescent="0.25">
      <c r="A10" s="9">
        <v>189</v>
      </c>
      <c r="B10" s="10" t="s">
        <v>8</v>
      </c>
      <c r="C10" s="10" t="s">
        <v>80</v>
      </c>
      <c r="D10" s="10" t="s">
        <v>87</v>
      </c>
      <c r="E10" s="10" t="s">
        <v>88</v>
      </c>
      <c r="F10" s="10">
        <v>33.042614999999998</v>
      </c>
      <c r="G10" s="10">
        <v>40.341484000000001</v>
      </c>
      <c r="H10" s="11">
        <v>248</v>
      </c>
      <c r="I10" s="11">
        <v>1488</v>
      </c>
      <c r="J10" s="11"/>
      <c r="K10" s="11"/>
      <c r="L10" s="11"/>
      <c r="M10" s="11"/>
      <c r="N10" s="11"/>
      <c r="O10" s="11"/>
      <c r="P10" s="11">
        <v>248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248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>
        <v>123</v>
      </c>
      <c r="AO10" s="11"/>
      <c r="AP10" s="11">
        <v>125</v>
      </c>
      <c r="AQ10" s="11"/>
      <c r="AR10" s="11"/>
      <c r="AS10" s="11"/>
      <c r="AT10" s="11"/>
      <c r="AU10" s="20" t="str">
        <f>HYPERLINK("http://www.openstreetmap.org/?mlat=33.0426&amp;mlon=40.3415&amp;zoom=12#map=12/33.0426/40.3415","Maplink1")</f>
        <v>Maplink1</v>
      </c>
      <c r="AV10" s="20" t="str">
        <f>HYPERLINK("https://www.google.iq/maps/search/+33.0426,40.3415/@33.0426,40.3415,14z?hl=en","Maplink2")</f>
        <v>Maplink2</v>
      </c>
      <c r="AW10" s="20" t="str">
        <f>HYPERLINK("http://www.bing.com/maps/?lvl=14&amp;sty=h&amp;cp=33.0426~40.3415&amp;sp=point.33.0426_40.3415","Maplink3")</f>
        <v>Maplink3</v>
      </c>
    </row>
    <row r="11" spans="1:49" x14ac:dyDescent="0.25">
      <c r="A11" s="9">
        <v>23888</v>
      </c>
      <c r="B11" s="10" t="s">
        <v>8</v>
      </c>
      <c r="C11" s="10" t="s">
        <v>80</v>
      </c>
      <c r="D11" s="10" t="s">
        <v>1789</v>
      </c>
      <c r="E11" s="10" t="s">
        <v>94</v>
      </c>
      <c r="F11" s="10">
        <v>33.037021000000003</v>
      </c>
      <c r="G11" s="10">
        <v>40.279730999999998</v>
      </c>
      <c r="H11" s="11">
        <v>751</v>
      </c>
      <c r="I11" s="11">
        <v>4506</v>
      </c>
      <c r="J11" s="11">
        <v>210</v>
      </c>
      <c r="K11" s="11"/>
      <c r="L11" s="11">
        <v>367</v>
      </c>
      <c r="M11" s="11"/>
      <c r="N11" s="11"/>
      <c r="O11" s="11"/>
      <c r="P11" s="11">
        <v>174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>
        <v>751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174</v>
      </c>
      <c r="AO11" s="11"/>
      <c r="AP11" s="11">
        <v>367</v>
      </c>
      <c r="AQ11" s="11"/>
      <c r="AR11" s="11">
        <v>210</v>
      </c>
      <c r="AS11" s="11"/>
      <c r="AT11" s="11"/>
      <c r="AU11" s="20" t="str">
        <f>HYPERLINK("http://www.openstreetmap.org/?mlat=33.037&amp;mlon=40.2797&amp;zoom=12#map=12/33.037/40.2797","Maplink1")</f>
        <v>Maplink1</v>
      </c>
      <c r="AV11" s="20" t="str">
        <f>HYPERLINK("https://www.google.iq/maps/search/+33.037,40.2797/@33.037,40.2797,14z?hl=en","Maplink2")</f>
        <v>Maplink2</v>
      </c>
      <c r="AW11" s="20" t="str">
        <f>HYPERLINK("http://www.bing.com/maps/?lvl=14&amp;sty=h&amp;cp=33.037~40.2797&amp;sp=point.33.037_40.2797","Maplink3")</f>
        <v>Maplink3</v>
      </c>
    </row>
    <row r="12" spans="1:49" x14ac:dyDescent="0.25">
      <c r="A12" s="9">
        <v>166</v>
      </c>
      <c r="B12" s="10" t="s">
        <v>8</v>
      </c>
      <c r="C12" s="10" t="s">
        <v>80</v>
      </c>
      <c r="D12" s="10" t="s">
        <v>92</v>
      </c>
      <c r="E12" s="10" t="s">
        <v>93</v>
      </c>
      <c r="F12" s="10">
        <v>33.039800999999997</v>
      </c>
      <c r="G12" s="10">
        <v>40.282946000000003</v>
      </c>
      <c r="H12" s="11">
        <v>432</v>
      </c>
      <c r="I12" s="11">
        <v>2592</v>
      </c>
      <c r="J12" s="11"/>
      <c r="K12" s="11"/>
      <c r="L12" s="11">
        <v>307</v>
      </c>
      <c r="M12" s="11"/>
      <c r="N12" s="11"/>
      <c r="O12" s="11"/>
      <c r="P12" s="11">
        <v>125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432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170</v>
      </c>
      <c r="AN12" s="11">
        <v>125</v>
      </c>
      <c r="AO12" s="11"/>
      <c r="AP12" s="11">
        <v>137</v>
      </c>
      <c r="AQ12" s="11"/>
      <c r="AR12" s="11"/>
      <c r="AS12" s="11"/>
      <c r="AT12" s="11"/>
      <c r="AU12" s="20" t="str">
        <f>HYPERLINK("http://www.openstreetmap.org/?mlat=33.0398&amp;mlon=40.2829&amp;zoom=12#map=12/33.0398/40.2829","Maplink1")</f>
        <v>Maplink1</v>
      </c>
      <c r="AV12" s="20" t="str">
        <f>HYPERLINK("https://www.google.iq/maps/search/+33.0398,40.2829/@33.0398,40.2829,14z?hl=en","Maplink2")</f>
        <v>Maplink2</v>
      </c>
      <c r="AW12" s="20" t="str">
        <f>HYPERLINK("http://www.bing.com/maps/?lvl=14&amp;sty=h&amp;cp=33.0398~40.2829&amp;sp=point.33.0398_40.2829","Maplink3")</f>
        <v>Maplink3</v>
      </c>
    </row>
    <row r="13" spans="1:49" x14ac:dyDescent="0.25">
      <c r="A13" s="9">
        <v>233</v>
      </c>
      <c r="B13" s="10" t="s">
        <v>8</v>
      </c>
      <c r="C13" s="10" t="s">
        <v>80</v>
      </c>
      <c r="D13" s="10" t="s">
        <v>1790</v>
      </c>
      <c r="E13" s="10" t="s">
        <v>91</v>
      </c>
      <c r="F13" s="10">
        <v>33.039321000000001</v>
      </c>
      <c r="G13" s="10">
        <v>40.293433999999998</v>
      </c>
      <c r="H13" s="11">
        <v>689</v>
      </c>
      <c r="I13" s="11">
        <v>4134</v>
      </c>
      <c r="J13" s="11">
        <v>245</v>
      </c>
      <c r="K13" s="11"/>
      <c r="L13" s="11">
        <v>397</v>
      </c>
      <c r="M13" s="11"/>
      <c r="N13" s="11"/>
      <c r="O13" s="11"/>
      <c r="P13" s="11">
        <v>47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689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>
        <v>210</v>
      </c>
      <c r="AO13" s="11"/>
      <c r="AP13" s="11">
        <v>234</v>
      </c>
      <c r="AQ13" s="11"/>
      <c r="AR13" s="11">
        <v>245</v>
      </c>
      <c r="AS13" s="11"/>
      <c r="AT13" s="11"/>
      <c r="AU13" s="20" t="str">
        <f>HYPERLINK("http://www.openstreetmap.org/?mlat=33.0393&amp;mlon=40.2934&amp;zoom=12#map=12/33.0393/40.2934","Maplink1")</f>
        <v>Maplink1</v>
      </c>
      <c r="AV13" s="20" t="str">
        <f>HYPERLINK("https://www.google.iq/maps/search/+33.0393,40.2934/@33.0393,40.2934,14z?hl=en","Maplink2")</f>
        <v>Maplink2</v>
      </c>
      <c r="AW13" s="20" t="str">
        <f>HYPERLINK("http://www.bing.com/maps/?lvl=14&amp;sty=h&amp;cp=33.0393~40.2934&amp;sp=point.33.0393_40.2934","Maplink3")</f>
        <v>Maplink3</v>
      </c>
    </row>
    <row r="14" spans="1:49" x14ac:dyDescent="0.25">
      <c r="A14" s="9">
        <v>21613</v>
      </c>
      <c r="B14" s="10" t="s">
        <v>8</v>
      </c>
      <c r="C14" s="10" t="s">
        <v>95</v>
      </c>
      <c r="D14" s="10" t="s">
        <v>96</v>
      </c>
      <c r="E14" s="10" t="s">
        <v>97</v>
      </c>
      <c r="F14" s="10">
        <v>33.416049999999998</v>
      </c>
      <c r="G14" s="10">
        <v>43.736939999999997</v>
      </c>
      <c r="H14" s="11">
        <v>661</v>
      </c>
      <c r="I14" s="11">
        <v>3966</v>
      </c>
      <c r="J14" s="11">
        <v>78</v>
      </c>
      <c r="K14" s="11"/>
      <c r="L14" s="11">
        <v>170</v>
      </c>
      <c r="M14" s="11"/>
      <c r="N14" s="11"/>
      <c r="O14" s="11"/>
      <c r="P14" s="11">
        <v>141</v>
      </c>
      <c r="Q14" s="11"/>
      <c r="R14" s="11">
        <v>182</v>
      </c>
      <c r="S14" s="11"/>
      <c r="T14" s="11"/>
      <c r="U14" s="11"/>
      <c r="V14" s="11"/>
      <c r="W14" s="11"/>
      <c r="X14" s="11"/>
      <c r="Y14" s="11">
        <v>90</v>
      </c>
      <c r="Z14" s="11"/>
      <c r="AA14" s="11"/>
      <c r="AB14" s="11"/>
      <c r="AC14" s="11">
        <v>661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389</v>
      </c>
      <c r="AN14" s="11">
        <v>90</v>
      </c>
      <c r="AO14" s="11"/>
      <c r="AP14" s="11">
        <v>182</v>
      </c>
      <c r="AQ14" s="11"/>
      <c r="AR14" s="11"/>
      <c r="AS14" s="11"/>
      <c r="AT14" s="11"/>
      <c r="AU14" s="20" t="str">
        <f>HYPERLINK("http://www.openstreetmap.org/?mlat=33.416&amp;mlon=43.7369&amp;zoom=12#map=12/33.416/43.7369","Maplink1")</f>
        <v>Maplink1</v>
      </c>
      <c r="AV14" s="20" t="str">
        <f>HYPERLINK("https://www.google.iq/maps/search/+33.416,43.7369/@33.416,43.7369,14z?hl=en","Maplink2")</f>
        <v>Maplink2</v>
      </c>
      <c r="AW14" s="20" t="str">
        <f>HYPERLINK("http://www.bing.com/maps/?lvl=14&amp;sty=h&amp;cp=33.416~43.7369&amp;sp=point.33.416_43.7369","Maplink3")</f>
        <v>Maplink3</v>
      </c>
    </row>
    <row r="15" spans="1:49" x14ac:dyDescent="0.25">
      <c r="A15" s="9">
        <v>24766</v>
      </c>
      <c r="B15" s="10" t="s">
        <v>8</v>
      </c>
      <c r="C15" s="10" t="s">
        <v>95</v>
      </c>
      <c r="D15" s="10" t="s">
        <v>1791</v>
      </c>
      <c r="E15" s="10" t="s">
        <v>98</v>
      </c>
      <c r="F15" s="10">
        <v>33.408380000000001</v>
      </c>
      <c r="G15" s="10">
        <v>43.915799</v>
      </c>
      <c r="H15" s="11">
        <v>330</v>
      </c>
      <c r="I15" s="11">
        <v>1980</v>
      </c>
      <c r="J15" s="11">
        <v>49</v>
      </c>
      <c r="K15" s="11"/>
      <c r="L15" s="11"/>
      <c r="M15" s="11"/>
      <c r="N15" s="11"/>
      <c r="O15" s="11"/>
      <c r="P15" s="11">
        <v>111</v>
      </c>
      <c r="Q15" s="11"/>
      <c r="R15" s="11">
        <v>170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>
        <v>330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>
        <v>170</v>
      </c>
      <c r="AO15" s="11"/>
      <c r="AP15" s="11">
        <v>111</v>
      </c>
      <c r="AQ15" s="11">
        <v>49</v>
      </c>
      <c r="AR15" s="11"/>
      <c r="AS15" s="11"/>
      <c r="AT15" s="11"/>
      <c r="AU15" s="20" t="str">
        <f>HYPERLINK("http://www.openstreetmap.org/?mlat=33.4084&amp;mlon=43.9158&amp;zoom=12#map=12/33.4084/43.9158","Maplink1")</f>
        <v>Maplink1</v>
      </c>
      <c r="AV15" s="20" t="str">
        <f>HYPERLINK("https://www.google.iq/maps/search/+33.4084,43.9158/@33.4084,43.9158,14z?hl=en","Maplink2")</f>
        <v>Maplink2</v>
      </c>
      <c r="AW15" s="20" t="str">
        <f>HYPERLINK("http://www.bing.com/maps/?lvl=14&amp;sty=h&amp;cp=33.4084~43.9158&amp;sp=point.33.4084_43.9158","Maplink3")</f>
        <v>Maplink3</v>
      </c>
    </row>
    <row r="16" spans="1:49" x14ac:dyDescent="0.25">
      <c r="A16" s="9">
        <v>21321</v>
      </c>
      <c r="B16" s="10" t="s">
        <v>8</v>
      </c>
      <c r="C16" s="10" t="s">
        <v>95</v>
      </c>
      <c r="D16" s="10" t="s">
        <v>100</v>
      </c>
      <c r="E16" s="10" t="s">
        <v>101</v>
      </c>
      <c r="F16" s="10">
        <v>33.260626999999999</v>
      </c>
      <c r="G16" s="10">
        <v>43.846702000000001</v>
      </c>
      <c r="H16" s="11">
        <v>1000</v>
      </c>
      <c r="I16" s="11">
        <v>6000</v>
      </c>
      <c r="J16" s="11">
        <v>454</v>
      </c>
      <c r="K16" s="11"/>
      <c r="L16" s="11">
        <v>168</v>
      </c>
      <c r="M16" s="11"/>
      <c r="N16" s="11"/>
      <c r="O16" s="11"/>
      <c r="P16" s="11">
        <v>159</v>
      </c>
      <c r="Q16" s="11"/>
      <c r="R16" s="11">
        <v>219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1000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>
        <v>546</v>
      </c>
      <c r="AN16" s="11"/>
      <c r="AO16" s="11"/>
      <c r="AP16" s="11"/>
      <c r="AQ16" s="11"/>
      <c r="AR16" s="11">
        <v>454</v>
      </c>
      <c r="AS16" s="11"/>
      <c r="AT16" s="11"/>
      <c r="AU16" s="20" t="str">
        <f>HYPERLINK("http://www.openstreetmap.org/?mlat=33.2606&amp;mlon=43.8467&amp;zoom=12#map=12/33.2606/43.8467","Maplink1")</f>
        <v>Maplink1</v>
      </c>
      <c r="AV16" s="20" t="str">
        <f>HYPERLINK("https://www.google.iq/maps/search/+33.2606,43.8467/@33.2606,43.8467,14z?hl=en","Maplink2")</f>
        <v>Maplink2</v>
      </c>
      <c r="AW16" s="20" t="str">
        <f>HYPERLINK("http://www.bing.com/maps/?lvl=14&amp;sty=h&amp;cp=33.2606~43.8467&amp;sp=point.33.2606_43.8467","Maplink3")</f>
        <v>Maplink3</v>
      </c>
    </row>
    <row r="17" spans="1:49" x14ac:dyDescent="0.25">
      <c r="A17" s="9">
        <v>22864</v>
      </c>
      <c r="B17" s="10" t="s">
        <v>8</v>
      </c>
      <c r="C17" s="10" t="s">
        <v>95</v>
      </c>
      <c r="D17" s="10" t="s">
        <v>103</v>
      </c>
      <c r="E17" s="10" t="s">
        <v>104</v>
      </c>
      <c r="F17" s="10">
        <v>33.279702999999998</v>
      </c>
      <c r="G17" s="10">
        <v>43.795606999999997</v>
      </c>
      <c r="H17" s="11">
        <v>958</v>
      </c>
      <c r="I17" s="11">
        <v>5748</v>
      </c>
      <c r="J17" s="11">
        <v>567</v>
      </c>
      <c r="K17" s="11"/>
      <c r="L17" s="11">
        <v>214</v>
      </c>
      <c r="M17" s="11"/>
      <c r="N17" s="11">
        <v>13</v>
      </c>
      <c r="O17" s="11"/>
      <c r="P17" s="11">
        <v>82</v>
      </c>
      <c r="Q17" s="11"/>
      <c r="R17" s="11">
        <v>63</v>
      </c>
      <c r="S17" s="11"/>
      <c r="T17" s="11"/>
      <c r="U17" s="11"/>
      <c r="V17" s="11"/>
      <c r="W17" s="11"/>
      <c r="X17" s="11"/>
      <c r="Y17" s="11">
        <v>19</v>
      </c>
      <c r="Z17" s="11"/>
      <c r="AA17" s="11"/>
      <c r="AB17" s="11"/>
      <c r="AC17" s="11">
        <v>958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371</v>
      </c>
      <c r="AN17" s="11">
        <v>43</v>
      </c>
      <c r="AO17" s="11"/>
      <c r="AP17" s="11">
        <v>56</v>
      </c>
      <c r="AQ17" s="11">
        <v>84</v>
      </c>
      <c r="AR17" s="11">
        <v>404</v>
      </c>
      <c r="AS17" s="11"/>
      <c r="AT17" s="11"/>
      <c r="AU17" s="20" t="str">
        <f>HYPERLINK("http://www.openstreetmap.org/?mlat=33.2797&amp;mlon=43.7956&amp;zoom=12#map=12/33.2797/43.7956","Maplink1")</f>
        <v>Maplink1</v>
      </c>
      <c r="AV17" s="20" t="str">
        <f>HYPERLINK("https://www.google.iq/maps/search/+33.2797,43.7956/@33.2797,43.7956,14z?hl=en","Maplink2")</f>
        <v>Maplink2</v>
      </c>
      <c r="AW17" s="20" t="str">
        <f>HYPERLINK("http://www.bing.com/maps/?lvl=14&amp;sty=h&amp;cp=33.2797~43.7956&amp;sp=point.33.2797_43.7956","Maplink3")</f>
        <v>Maplink3</v>
      </c>
    </row>
    <row r="18" spans="1:49" x14ac:dyDescent="0.25">
      <c r="A18" s="9">
        <v>29700</v>
      </c>
      <c r="B18" s="10" t="s">
        <v>8</v>
      </c>
      <c r="C18" s="10" t="s">
        <v>95</v>
      </c>
      <c r="D18" s="10" t="s">
        <v>105</v>
      </c>
      <c r="E18" s="10" t="s">
        <v>106</v>
      </c>
      <c r="F18" s="10">
        <v>33.374969999999998</v>
      </c>
      <c r="G18" s="10">
        <v>43.801859999999998</v>
      </c>
      <c r="H18" s="11">
        <v>1653</v>
      </c>
      <c r="I18" s="11">
        <v>9918</v>
      </c>
      <c r="J18" s="11">
        <v>572</v>
      </c>
      <c r="K18" s="11"/>
      <c r="L18" s="11">
        <v>681</v>
      </c>
      <c r="M18" s="11"/>
      <c r="N18" s="11"/>
      <c r="O18" s="11"/>
      <c r="P18" s="11">
        <v>90</v>
      </c>
      <c r="Q18" s="11"/>
      <c r="R18" s="11"/>
      <c r="S18" s="11"/>
      <c r="T18" s="11"/>
      <c r="U18" s="11"/>
      <c r="V18" s="11"/>
      <c r="W18" s="11"/>
      <c r="X18" s="11"/>
      <c r="Y18" s="11">
        <v>310</v>
      </c>
      <c r="Z18" s="11"/>
      <c r="AA18" s="11"/>
      <c r="AB18" s="11"/>
      <c r="AC18" s="11">
        <v>1653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>
        <v>1061</v>
      </c>
      <c r="AN18" s="11"/>
      <c r="AO18" s="11"/>
      <c r="AP18" s="11">
        <v>146</v>
      </c>
      <c r="AQ18" s="11">
        <v>136</v>
      </c>
      <c r="AR18" s="11">
        <v>310</v>
      </c>
      <c r="AS18" s="11"/>
      <c r="AT18" s="11"/>
      <c r="AU18" s="20" t="str">
        <f>HYPERLINK("http://www.openstreetmap.org/?mlat=33.375&amp;mlon=43.8019&amp;zoom=12#map=12/33.375/43.8019","Maplink1")</f>
        <v>Maplink1</v>
      </c>
      <c r="AV18" s="20" t="str">
        <f>HYPERLINK("https://www.google.iq/maps/search/+33.375,43.8019/@33.375,43.8019,14z?hl=en","Maplink2")</f>
        <v>Maplink2</v>
      </c>
      <c r="AW18" s="20" t="str">
        <f>HYPERLINK("http://www.bing.com/maps/?lvl=14&amp;sty=h&amp;cp=33.375~43.8019&amp;sp=point.33.375_43.8019","Maplink3")</f>
        <v>Maplink3</v>
      </c>
    </row>
    <row r="19" spans="1:49" x14ac:dyDescent="0.25">
      <c r="A19" s="9">
        <v>21742</v>
      </c>
      <c r="B19" s="10" t="s">
        <v>8</v>
      </c>
      <c r="C19" s="10" t="s">
        <v>95</v>
      </c>
      <c r="D19" s="10" t="s">
        <v>107</v>
      </c>
      <c r="E19" s="10" t="s">
        <v>108</v>
      </c>
      <c r="F19" s="10">
        <v>33.434659000000003</v>
      </c>
      <c r="G19" s="10">
        <v>43.963735</v>
      </c>
      <c r="H19" s="11">
        <v>1246</v>
      </c>
      <c r="I19" s="11">
        <v>7476</v>
      </c>
      <c r="J19" s="11">
        <v>807</v>
      </c>
      <c r="K19" s="11"/>
      <c r="L19" s="11">
        <v>346</v>
      </c>
      <c r="M19" s="11"/>
      <c r="N19" s="11"/>
      <c r="O19" s="11"/>
      <c r="P19" s="11">
        <v>93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1139</v>
      </c>
      <c r="AD19" s="11"/>
      <c r="AE19" s="11"/>
      <c r="AF19" s="11"/>
      <c r="AG19" s="11"/>
      <c r="AH19" s="11"/>
      <c r="AI19" s="11">
        <v>107</v>
      </c>
      <c r="AJ19" s="11"/>
      <c r="AK19" s="11"/>
      <c r="AL19" s="11"/>
      <c r="AM19" s="11">
        <v>393</v>
      </c>
      <c r="AN19" s="11">
        <v>307</v>
      </c>
      <c r="AO19" s="11"/>
      <c r="AP19" s="11">
        <v>174</v>
      </c>
      <c r="AQ19" s="11">
        <v>372</v>
      </c>
      <c r="AR19" s="11"/>
      <c r="AS19" s="11"/>
      <c r="AT19" s="11"/>
      <c r="AU19" s="20" t="str">
        <f>HYPERLINK("http://www.openstreetmap.org/?mlat=33.4347&amp;mlon=43.9637&amp;zoom=12#map=12/33.4347/43.9637","Maplink1")</f>
        <v>Maplink1</v>
      </c>
      <c r="AV19" s="20" t="str">
        <f>HYPERLINK("https://www.google.iq/maps/search/+33.4347,43.9637/@33.4347,43.9637,14z?hl=en","Maplink2")</f>
        <v>Maplink2</v>
      </c>
      <c r="AW19" s="20" t="str">
        <f>HYPERLINK("http://www.bing.com/maps/?lvl=14&amp;sty=h&amp;cp=33.4347~43.9637&amp;sp=point.33.4347_43.9637","Maplink3")</f>
        <v>Maplink3</v>
      </c>
    </row>
    <row r="20" spans="1:49" x14ac:dyDescent="0.25">
      <c r="A20" s="9">
        <v>122</v>
      </c>
      <c r="B20" s="10" t="s">
        <v>8</v>
      </c>
      <c r="C20" s="10" t="s">
        <v>95</v>
      </c>
      <c r="D20" s="10" t="s">
        <v>109</v>
      </c>
      <c r="E20" s="10" t="s">
        <v>110</v>
      </c>
      <c r="F20" s="10">
        <v>33.356830000000002</v>
      </c>
      <c r="G20" s="10">
        <v>43.784210000000002</v>
      </c>
      <c r="H20" s="11">
        <v>2473</v>
      </c>
      <c r="I20" s="11">
        <v>14838</v>
      </c>
      <c r="J20" s="11">
        <v>1361</v>
      </c>
      <c r="K20" s="11"/>
      <c r="L20" s="11">
        <v>391</v>
      </c>
      <c r="M20" s="11"/>
      <c r="N20" s="11"/>
      <c r="O20" s="11"/>
      <c r="P20" s="11">
        <v>482</v>
      </c>
      <c r="Q20" s="11"/>
      <c r="R20" s="11">
        <v>59</v>
      </c>
      <c r="S20" s="11"/>
      <c r="T20" s="11"/>
      <c r="U20" s="11"/>
      <c r="V20" s="11"/>
      <c r="W20" s="11"/>
      <c r="X20" s="11"/>
      <c r="Y20" s="11">
        <v>180</v>
      </c>
      <c r="Z20" s="11"/>
      <c r="AA20" s="11"/>
      <c r="AB20" s="11"/>
      <c r="AC20" s="11">
        <v>2331</v>
      </c>
      <c r="AD20" s="11"/>
      <c r="AE20" s="11"/>
      <c r="AF20" s="11"/>
      <c r="AG20" s="11"/>
      <c r="AH20" s="11"/>
      <c r="AI20" s="11">
        <v>142</v>
      </c>
      <c r="AJ20" s="11"/>
      <c r="AK20" s="11"/>
      <c r="AL20" s="11"/>
      <c r="AM20" s="11">
        <v>1210</v>
      </c>
      <c r="AN20" s="11"/>
      <c r="AO20" s="11"/>
      <c r="AP20" s="11">
        <v>300</v>
      </c>
      <c r="AQ20" s="11">
        <v>758</v>
      </c>
      <c r="AR20" s="11">
        <v>205</v>
      </c>
      <c r="AS20" s="11"/>
      <c r="AT20" s="11"/>
      <c r="AU20" s="20" t="str">
        <f>HYPERLINK("http://www.openstreetmap.org/?mlat=33.3568&amp;mlon=43.7842&amp;zoom=12#map=12/33.3568/43.7842","Maplink1")</f>
        <v>Maplink1</v>
      </c>
      <c r="AV20" s="20" t="str">
        <f>HYPERLINK("https://www.google.iq/maps/search/+33.3568,43.7842/@33.3568,43.7842,14z?hl=en","Maplink2")</f>
        <v>Maplink2</v>
      </c>
      <c r="AW20" s="20" t="str">
        <f>HYPERLINK("http://www.bing.com/maps/?lvl=14&amp;sty=h&amp;cp=33.3568~43.7842&amp;sp=point.33.3568_43.7842","Maplink3")</f>
        <v>Maplink3</v>
      </c>
    </row>
    <row r="21" spans="1:49" x14ac:dyDescent="0.25">
      <c r="A21" s="9">
        <v>22705</v>
      </c>
      <c r="B21" s="10" t="s">
        <v>8</v>
      </c>
      <c r="C21" s="10" t="s">
        <v>95</v>
      </c>
      <c r="D21" s="10" t="s">
        <v>113</v>
      </c>
      <c r="E21" s="10" t="s">
        <v>114</v>
      </c>
      <c r="F21" s="10">
        <v>33.414319999999996</v>
      </c>
      <c r="G21" s="10">
        <v>43.617609999999999</v>
      </c>
      <c r="H21" s="11">
        <v>796</v>
      </c>
      <c r="I21" s="11">
        <v>4776</v>
      </c>
      <c r="J21" s="11">
        <v>450</v>
      </c>
      <c r="K21" s="11"/>
      <c r="L21" s="11">
        <v>55</v>
      </c>
      <c r="M21" s="11"/>
      <c r="N21" s="11"/>
      <c r="O21" s="11"/>
      <c r="P21" s="11">
        <v>214</v>
      </c>
      <c r="Q21" s="11"/>
      <c r="R21" s="11"/>
      <c r="S21" s="11"/>
      <c r="T21" s="11"/>
      <c r="U21" s="11"/>
      <c r="V21" s="11"/>
      <c r="W21" s="11"/>
      <c r="X21" s="11"/>
      <c r="Y21" s="11">
        <v>77</v>
      </c>
      <c r="Z21" s="11"/>
      <c r="AA21" s="11"/>
      <c r="AB21" s="11"/>
      <c r="AC21" s="11">
        <v>796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>
        <v>450</v>
      </c>
      <c r="AN21" s="11"/>
      <c r="AO21" s="11"/>
      <c r="AP21" s="11">
        <v>55</v>
      </c>
      <c r="AQ21" s="11">
        <v>214</v>
      </c>
      <c r="AR21" s="11">
        <v>77</v>
      </c>
      <c r="AS21" s="11"/>
      <c r="AT21" s="11"/>
      <c r="AU21" s="20" t="str">
        <f>HYPERLINK("http://www.openstreetmap.org/?mlat=33.4143&amp;mlon=43.6176&amp;zoom=12#map=12/33.4143/43.6176","Maplink1")</f>
        <v>Maplink1</v>
      </c>
      <c r="AV21" s="20" t="str">
        <f>HYPERLINK("https://www.google.iq/maps/search/+33.4143,43.6176/@33.4143,43.6176,14z?hl=en","Maplink2")</f>
        <v>Maplink2</v>
      </c>
      <c r="AW21" s="20" t="str">
        <f>HYPERLINK("http://www.bing.com/maps/?lvl=14&amp;sty=h&amp;cp=33.4143~43.6176&amp;sp=point.33.4143_43.6176","Maplink3")</f>
        <v>Maplink3</v>
      </c>
    </row>
    <row r="22" spans="1:49" x14ac:dyDescent="0.25">
      <c r="A22" s="9">
        <v>21614</v>
      </c>
      <c r="B22" s="10" t="s">
        <v>8</v>
      </c>
      <c r="C22" s="10" t="s">
        <v>95</v>
      </c>
      <c r="D22" s="10" t="s">
        <v>115</v>
      </c>
      <c r="E22" s="10" t="s">
        <v>116</v>
      </c>
      <c r="F22" s="10">
        <v>33.424889999999998</v>
      </c>
      <c r="G22" s="10">
        <v>43.756590000000003</v>
      </c>
      <c r="H22" s="11">
        <v>693</v>
      </c>
      <c r="I22" s="11">
        <v>4158</v>
      </c>
      <c r="J22" s="11">
        <v>198</v>
      </c>
      <c r="K22" s="11"/>
      <c r="L22" s="11">
        <v>70</v>
      </c>
      <c r="M22" s="11"/>
      <c r="N22" s="11"/>
      <c r="O22" s="11"/>
      <c r="P22" s="11">
        <v>189</v>
      </c>
      <c r="Q22" s="11"/>
      <c r="R22" s="11">
        <v>236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693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>
        <v>306</v>
      </c>
      <c r="AN22" s="11">
        <v>100</v>
      </c>
      <c r="AO22" s="11"/>
      <c r="AP22" s="11">
        <v>67</v>
      </c>
      <c r="AQ22" s="11">
        <v>89</v>
      </c>
      <c r="AR22" s="11">
        <v>131</v>
      </c>
      <c r="AS22" s="11"/>
      <c r="AT22" s="11"/>
      <c r="AU22" s="20" t="str">
        <f>HYPERLINK("http://www.openstreetmap.org/?mlat=33.4249&amp;mlon=43.7566&amp;zoom=12#map=12/33.4249/43.7566","Maplink1")</f>
        <v>Maplink1</v>
      </c>
      <c r="AV22" s="20" t="str">
        <f>HYPERLINK("https://www.google.iq/maps/search/+33.4249,43.7566/@33.4249,43.7566,14z?hl=en","Maplink2")</f>
        <v>Maplink2</v>
      </c>
      <c r="AW22" s="20" t="str">
        <f>HYPERLINK("http://www.bing.com/maps/?lvl=14&amp;sty=h&amp;cp=33.4249~43.7566&amp;sp=point.33.4249_43.7566","Maplink3")</f>
        <v>Maplink3</v>
      </c>
    </row>
    <row r="23" spans="1:49" x14ac:dyDescent="0.25">
      <c r="A23" s="9">
        <v>21556</v>
      </c>
      <c r="B23" s="10" t="s">
        <v>8</v>
      </c>
      <c r="C23" s="10" t="s">
        <v>95</v>
      </c>
      <c r="D23" s="10" t="s">
        <v>1792</v>
      </c>
      <c r="E23" s="10" t="s">
        <v>119</v>
      </c>
      <c r="F23" s="10">
        <v>33.399209999999997</v>
      </c>
      <c r="G23" s="10">
        <v>43.718710000000002</v>
      </c>
      <c r="H23" s="11">
        <v>1525</v>
      </c>
      <c r="I23" s="11">
        <v>9150</v>
      </c>
      <c r="J23" s="11">
        <v>490</v>
      </c>
      <c r="K23" s="11"/>
      <c r="L23" s="11">
        <v>157</v>
      </c>
      <c r="M23" s="11"/>
      <c r="N23" s="11"/>
      <c r="O23" s="11"/>
      <c r="P23" s="11">
        <v>313</v>
      </c>
      <c r="Q23" s="11"/>
      <c r="R23" s="11">
        <v>423</v>
      </c>
      <c r="S23" s="11"/>
      <c r="T23" s="11"/>
      <c r="U23" s="11"/>
      <c r="V23" s="11"/>
      <c r="W23" s="11"/>
      <c r="X23" s="11"/>
      <c r="Y23" s="11">
        <v>142</v>
      </c>
      <c r="Z23" s="11"/>
      <c r="AA23" s="11"/>
      <c r="AB23" s="11"/>
      <c r="AC23" s="11">
        <v>1525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389</v>
      </c>
      <c r="AN23" s="11">
        <v>303</v>
      </c>
      <c r="AO23" s="11"/>
      <c r="AP23" s="11">
        <v>237</v>
      </c>
      <c r="AQ23" s="11">
        <v>182</v>
      </c>
      <c r="AR23" s="11">
        <v>414</v>
      </c>
      <c r="AS23" s="11"/>
      <c r="AT23" s="11"/>
      <c r="AU23" s="20" t="str">
        <f>HYPERLINK("http://www.openstreetmap.org/?mlat=33.3992&amp;mlon=43.7187&amp;zoom=12#map=12/33.3992/43.7187","Maplink1")</f>
        <v>Maplink1</v>
      </c>
      <c r="AV23" s="20" t="str">
        <f>HYPERLINK("https://www.google.iq/maps/search/+33.3992,43.7187/@33.3992,43.7187,14z?hl=en","Maplink2")</f>
        <v>Maplink2</v>
      </c>
      <c r="AW23" s="20" t="str">
        <f>HYPERLINK("http://www.bing.com/maps/?lvl=14&amp;sty=h&amp;cp=33.3992~43.7187&amp;sp=point.33.3992_43.7187","Maplink3")</f>
        <v>Maplink3</v>
      </c>
    </row>
    <row r="24" spans="1:49" x14ac:dyDescent="0.25">
      <c r="A24" s="9">
        <v>169</v>
      </c>
      <c r="B24" s="10" t="s">
        <v>8</v>
      </c>
      <c r="C24" s="10" t="s">
        <v>95</v>
      </c>
      <c r="D24" s="10" t="s">
        <v>120</v>
      </c>
      <c r="E24" s="10" t="s">
        <v>121</v>
      </c>
      <c r="F24" s="10">
        <v>33.363309999999998</v>
      </c>
      <c r="G24" s="10">
        <v>43.794080000000001</v>
      </c>
      <c r="H24" s="11">
        <v>2935</v>
      </c>
      <c r="I24" s="11">
        <v>17610</v>
      </c>
      <c r="J24" s="11">
        <v>1994</v>
      </c>
      <c r="K24" s="11"/>
      <c r="L24" s="11">
        <v>350</v>
      </c>
      <c r="M24" s="11"/>
      <c r="N24" s="11"/>
      <c r="O24" s="11"/>
      <c r="P24" s="11">
        <v>473</v>
      </c>
      <c r="Q24" s="11"/>
      <c r="R24" s="11">
        <v>118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2780</v>
      </c>
      <c r="AD24" s="11"/>
      <c r="AE24" s="11"/>
      <c r="AF24" s="11"/>
      <c r="AG24" s="11"/>
      <c r="AH24" s="11"/>
      <c r="AI24" s="11">
        <v>155</v>
      </c>
      <c r="AJ24" s="11"/>
      <c r="AK24" s="11"/>
      <c r="AL24" s="11"/>
      <c r="AM24" s="11">
        <v>1535</v>
      </c>
      <c r="AN24" s="11"/>
      <c r="AO24" s="11"/>
      <c r="AP24" s="11">
        <v>68</v>
      </c>
      <c r="AQ24" s="11">
        <v>923</v>
      </c>
      <c r="AR24" s="11">
        <v>409</v>
      </c>
      <c r="AS24" s="11"/>
      <c r="AT24" s="11"/>
      <c r="AU24" s="20" t="str">
        <f>HYPERLINK("http://www.openstreetmap.org/?mlat=33.3633&amp;mlon=43.7941&amp;zoom=12#map=12/33.3633/43.7941","Maplink1")</f>
        <v>Maplink1</v>
      </c>
      <c r="AV24" s="20" t="str">
        <f>HYPERLINK("https://www.google.iq/maps/search/+33.3633,43.7941/@33.3633,43.7941,14z?hl=en","Maplink2")</f>
        <v>Maplink2</v>
      </c>
      <c r="AW24" s="20" t="str">
        <f>HYPERLINK("http://www.bing.com/maps/?lvl=14&amp;sty=h&amp;cp=33.3633~43.7941&amp;sp=point.33.3633_43.7941","Maplink3")</f>
        <v>Maplink3</v>
      </c>
    </row>
    <row r="25" spans="1:49" x14ac:dyDescent="0.25">
      <c r="A25" s="9">
        <v>22525</v>
      </c>
      <c r="B25" s="10" t="s">
        <v>8</v>
      </c>
      <c r="C25" s="10" t="s">
        <v>95</v>
      </c>
      <c r="D25" s="10" t="s">
        <v>122</v>
      </c>
      <c r="E25" s="10" t="s">
        <v>123</v>
      </c>
      <c r="F25" s="10">
        <v>33.397970000000001</v>
      </c>
      <c r="G25" s="10">
        <v>43.644350000000003</v>
      </c>
      <c r="H25" s="11">
        <v>505</v>
      </c>
      <c r="I25" s="11">
        <v>3030</v>
      </c>
      <c r="J25" s="11">
        <v>203</v>
      </c>
      <c r="K25" s="11"/>
      <c r="L25" s="11">
        <v>88</v>
      </c>
      <c r="M25" s="11"/>
      <c r="N25" s="11"/>
      <c r="O25" s="11"/>
      <c r="P25" s="11">
        <v>109</v>
      </c>
      <c r="Q25" s="11"/>
      <c r="R25" s="11">
        <v>105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505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>
        <v>106</v>
      </c>
      <c r="AN25" s="11">
        <v>202</v>
      </c>
      <c r="AO25" s="11"/>
      <c r="AP25" s="11">
        <v>109</v>
      </c>
      <c r="AQ25" s="11">
        <v>88</v>
      </c>
      <c r="AR25" s="11"/>
      <c r="AS25" s="11"/>
      <c r="AT25" s="11"/>
      <c r="AU25" s="20" t="str">
        <f>HYPERLINK("http://www.openstreetmap.org/?mlat=33.398&amp;mlon=43.6444&amp;zoom=12#map=12/33.398/43.6444","Maplink1")</f>
        <v>Maplink1</v>
      </c>
      <c r="AV25" s="20" t="str">
        <f>HYPERLINK("https://www.google.iq/maps/search/+33.398,43.6444/@33.398,43.6444,14z?hl=en","Maplink2")</f>
        <v>Maplink2</v>
      </c>
      <c r="AW25" s="20" t="str">
        <f>HYPERLINK("http://www.bing.com/maps/?lvl=14&amp;sty=h&amp;cp=33.398~43.6444&amp;sp=point.33.398_43.6444","Maplink3")</f>
        <v>Maplink3</v>
      </c>
    </row>
    <row r="26" spans="1:49" x14ac:dyDescent="0.25">
      <c r="A26" s="9">
        <v>22524</v>
      </c>
      <c r="B26" s="10" t="s">
        <v>8</v>
      </c>
      <c r="C26" s="10" t="s">
        <v>95</v>
      </c>
      <c r="D26" s="10" t="s">
        <v>124</v>
      </c>
      <c r="E26" s="10" t="s">
        <v>125</v>
      </c>
      <c r="F26" s="10">
        <v>33.425609999999999</v>
      </c>
      <c r="G26" s="10">
        <v>43.719239999999999</v>
      </c>
      <c r="H26" s="11">
        <v>495</v>
      </c>
      <c r="I26" s="11">
        <v>2970</v>
      </c>
      <c r="J26" s="11">
        <v>222</v>
      </c>
      <c r="K26" s="11"/>
      <c r="L26" s="11">
        <v>153</v>
      </c>
      <c r="M26" s="11"/>
      <c r="N26" s="11"/>
      <c r="O26" s="11"/>
      <c r="P26" s="11">
        <v>100</v>
      </c>
      <c r="Q26" s="11"/>
      <c r="R26" s="11">
        <v>20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495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349</v>
      </c>
      <c r="AN26" s="11"/>
      <c r="AO26" s="11"/>
      <c r="AP26" s="11">
        <v>126</v>
      </c>
      <c r="AQ26" s="11">
        <v>20</v>
      </c>
      <c r="AR26" s="11"/>
      <c r="AS26" s="11"/>
      <c r="AT26" s="11"/>
      <c r="AU26" s="20" t="str">
        <f>HYPERLINK("http://www.openstreetmap.org/?mlat=33.4256&amp;mlon=43.7192&amp;zoom=12#map=12/33.4256/43.7192","Maplink1")</f>
        <v>Maplink1</v>
      </c>
      <c r="AV26" s="20" t="str">
        <f>HYPERLINK("https://www.google.iq/maps/search/+33.4256,43.7192/@33.4256,43.7192,14z?hl=en","Maplink2")</f>
        <v>Maplink2</v>
      </c>
      <c r="AW26" s="20" t="str">
        <f>HYPERLINK("http://www.bing.com/maps/?lvl=14&amp;sty=h&amp;cp=33.4256~43.7192&amp;sp=point.33.4256_43.7192","Maplink3")</f>
        <v>Maplink3</v>
      </c>
    </row>
    <row r="27" spans="1:49" x14ac:dyDescent="0.25">
      <c r="A27" s="9">
        <v>207</v>
      </c>
      <c r="B27" s="10" t="s">
        <v>8</v>
      </c>
      <c r="C27" s="10" t="s">
        <v>95</v>
      </c>
      <c r="D27" s="10" t="s">
        <v>127</v>
      </c>
      <c r="E27" s="10" t="s">
        <v>128</v>
      </c>
      <c r="F27" s="10">
        <v>33.362969999999997</v>
      </c>
      <c r="G27" s="10">
        <v>43.756770000000003</v>
      </c>
      <c r="H27" s="11">
        <v>292</v>
      </c>
      <c r="I27" s="11">
        <v>1752</v>
      </c>
      <c r="J27" s="11">
        <v>232</v>
      </c>
      <c r="K27" s="11"/>
      <c r="L27" s="11"/>
      <c r="M27" s="11"/>
      <c r="N27" s="11"/>
      <c r="O27" s="11"/>
      <c r="P27" s="11"/>
      <c r="Q27" s="11"/>
      <c r="R27" s="11">
        <v>60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292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>
        <v>127</v>
      </c>
      <c r="AN27" s="11"/>
      <c r="AO27" s="11"/>
      <c r="AP27" s="11"/>
      <c r="AQ27" s="11">
        <v>165</v>
      </c>
      <c r="AR27" s="11"/>
      <c r="AS27" s="11"/>
      <c r="AT27" s="11"/>
      <c r="AU27" s="20" t="str">
        <f>HYPERLINK("http://www.openstreetmap.org/?mlat=33.363&amp;mlon=43.7568&amp;zoom=12#map=12/33.363/43.7568","Maplink1")</f>
        <v>Maplink1</v>
      </c>
      <c r="AV27" s="20" t="str">
        <f>HYPERLINK("https://www.google.iq/maps/search/+33.363,43.7568/@33.363,43.7568,14z?hl=en","Maplink2")</f>
        <v>Maplink2</v>
      </c>
      <c r="AW27" s="20" t="str">
        <f>HYPERLINK("http://www.bing.com/maps/?lvl=14&amp;sty=h&amp;cp=33.363~43.7568&amp;sp=point.33.363_43.7568","Maplink3")</f>
        <v>Maplink3</v>
      </c>
    </row>
    <row r="28" spans="1:49" x14ac:dyDescent="0.25">
      <c r="A28" s="9">
        <v>176</v>
      </c>
      <c r="B28" s="10" t="s">
        <v>8</v>
      </c>
      <c r="C28" s="10" t="s">
        <v>95</v>
      </c>
      <c r="D28" s="10" t="s">
        <v>129</v>
      </c>
      <c r="E28" s="10" t="s">
        <v>130</v>
      </c>
      <c r="F28" s="10">
        <v>33.347659999999998</v>
      </c>
      <c r="G28" s="10">
        <v>43.76473</v>
      </c>
      <c r="H28" s="11">
        <v>2769</v>
      </c>
      <c r="I28" s="11">
        <v>16614</v>
      </c>
      <c r="J28" s="11">
        <v>1379</v>
      </c>
      <c r="K28" s="11"/>
      <c r="L28" s="11">
        <v>267</v>
      </c>
      <c r="M28" s="11"/>
      <c r="N28" s="11"/>
      <c r="O28" s="11"/>
      <c r="P28" s="11">
        <v>589</v>
      </c>
      <c r="Q28" s="11"/>
      <c r="R28" s="11">
        <v>114</v>
      </c>
      <c r="S28" s="11"/>
      <c r="T28" s="11"/>
      <c r="U28" s="11"/>
      <c r="V28" s="11"/>
      <c r="W28" s="11"/>
      <c r="X28" s="11"/>
      <c r="Y28" s="11">
        <v>420</v>
      </c>
      <c r="Z28" s="11"/>
      <c r="AA28" s="11"/>
      <c r="AB28" s="11"/>
      <c r="AC28" s="11">
        <v>2733</v>
      </c>
      <c r="AD28" s="11"/>
      <c r="AE28" s="11"/>
      <c r="AF28" s="11"/>
      <c r="AG28" s="11"/>
      <c r="AH28" s="11"/>
      <c r="AI28" s="11">
        <v>36</v>
      </c>
      <c r="AJ28" s="11"/>
      <c r="AK28" s="11"/>
      <c r="AL28" s="11"/>
      <c r="AM28" s="11">
        <v>1502</v>
      </c>
      <c r="AN28" s="11">
        <v>173</v>
      </c>
      <c r="AO28" s="11"/>
      <c r="AP28" s="11">
        <v>210</v>
      </c>
      <c r="AQ28" s="11">
        <v>456</v>
      </c>
      <c r="AR28" s="11">
        <v>428</v>
      </c>
      <c r="AS28" s="11"/>
      <c r="AT28" s="11"/>
      <c r="AU28" s="20" t="str">
        <f>HYPERLINK("http://www.openstreetmap.org/?mlat=33.3477&amp;mlon=43.7647&amp;zoom=12#map=12/33.3477/43.7647","Maplink1")</f>
        <v>Maplink1</v>
      </c>
      <c r="AV28" s="20" t="str">
        <f>HYPERLINK("https://www.google.iq/maps/search/+33.3477,43.7647/@33.3477,43.7647,14z?hl=en","Maplink2")</f>
        <v>Maplink2</v>
      </c>
      <c r="AW28" s="20" t="str">
        <f>HYPERLINK("http://www.bing.com/maps/?lvl=14&amp;sty=h&amp;cp=33.3477~43.7647&amp;sp=point.33.3477_43.7647","Maplink3")</f>
        <v>Maplink3</v>
      </c>
    </row>
    <row r="29" spans="1:49" x14ac:dyDescent="0.25">
      <c r="A29" s="9">
        <v>23801</v>
      </c>
      <c r="B29" s="10" t="s">
        <v>8</v>
      </c>
      <c r="C29" s="10" t="s">
        <v>95</v>
      </c>
      <c r="D29" s="10" t="s">
        <v>1793</v>
      </c>
      <c r="E29" s="10" t="s">
        <v>99</v>
      </c>
      <c r="F29" s="10">
        <v>33.347090000000001</v>
      </c>
      <c r="G29" s="10">
        <v>43.732219999999998</v>
      </c>
      <c r="H29" s="11">
        <v>1471</v>
      </c>
      <c r="I29" s="11">
        <v>8826</v>
      </c>
      <c r="J29" s="11">
        <v>929</v>
      </c>
      <c r="K29" s="11"/>
      <c r="L29" s="11">
        <v>311</v>
      </c>
      <c r="M29" s="11"/>
      <c r="N29" s="11"/>
      <c r="O29" s="11"/>
      <c r="P29" s="11">
        <v>163</v>
      </c>
      <c r="Q29" s="11"/>
      <c r="R29" s="11">
        <v>68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>
        <v>1313</v>
      </c>
      <c r="AD29" s="11"/>
      <c r="AE29" s="11"/>
      <c r="AF29" s="11"/>
      <c r="AG29" s="11"/>
      <c r="AH29" s="11"/>
      <c r="AI29" s="11">
        <v>158</v>
      </c>
      <c r="AJ29" s="11"/>
      <c r="AK29" s="11"/>
      <c r="AL29" s="11"/>
      <c r="AM29" s="11">
        <v>719</v>
      </c>
      <c r="AN29" s="11">
        <v>140</v>
      </c>
      <c r="AO29" s="11"/>
      <c r="AP29" s="11">
        <v>163</v>
      </c>
      <c r="AQ29" s="11">
        <v>220</v>
      </c>
      <c r="AR29" s="11">
        <v>229</v>
      </c>
      <c r="AS29" s="11"/>
      <c r="AT29" s="11"/>
      <c r="AU29" s="20" t="str">
        <f>HYPERLINK("http://www.openstreetmap.org/?mlat=33.3471&amp;mlon=43.7322&amp;zoom=12#map=12/33.3471/43.7322","Maplink1")</f>
        <v>Maplink1</v>
      </c>
      <c r="AV29" s="20" t="str">
        <f>HYPERLINK("https://www.google.iq/maps/search/+33.3471,43.7322/@33.3471,43.7322,14z?hl=en","Maplink2")</f>
        <v>Maplink2</v>
      </c>
      <c r="AW29" s="20" t="str">
        <f>HYPERLINK("http://www.bing.com/maps/?lvl=14&amp;sty=h&amp;cp=33.3471~43.7322&amp;sp=point.33.3471_43.7322","Maplink3")</f>
        <v>Maplink3</v>
      </c>
    </row>
    <row r="30" spans="1:49" x14ac:dyDescent="0.25">
      <c r="A30" s="9">
        <v>177</v>
      </c>
      <c r="B30" s="10" t="s">
        <v>8</v>
      </c>
      <c r="C30" s="10" t="s">
        <v>95</v>
      </c>
      <c r="D30" s="10" t="s">
        <v>131</v>
      </c>
      <c r="E30" s="10" t="s">
        <v>132</v>
      </c>
      <c r="F30" s="10">
        <v>33.352609999999999</v>
      </c>
      <c r="G30" s="10">
        <v>43.765419999999999</v>
      </c>
      <c r="H30" s="11">
        <v>2436</v>
      </c>
      <c r="I30" s="11">
        <v>14616</v>
      </c>
      <c r="J30" s="11">
        <v>1365</v>
      </c>
      <c r="K30" s="11"/>
      <c r="L30" s="11">
        <v>369</v>
      </c>
      <c r="M30" s="11"/>
      <c r="N30" s="11"/>
      <c r="O30" s="11"/>
      <c r="P30" s="11">
        <v>456</v>
      </c>
      <c r="Q30" s="11"/>
      <c r="R30" s="11">
        <v>56</v>
      </c>
      <c r="S30" s="11"/>
      <c r="T30" s="11"/>
      <c r="U30" s="11"/>
      <c r="V30" s="11"/>
      <c r="W30" s="11"/>
      <c r="X30" s="11"/>
      <c r="Y30" s="11">
        <v>190</v>
      </c>
      <c r="Z30" s="11"/>
      <c r="AA30" s="11"/>
      <c r="AB30" s="11"/>
      <c r="AC30" s="11">
        <v>2436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>
        <v>1312</v>
      </c>
      <c r="AN30" s="11">
        <v>138</v>
      </c>
      <c r="AO30" s="11"/>
      <c r="AP30" s="11">
        <v>106</v>
      </c>
      <c r="AQ30" s="11">
        <v>784</v>
      </c>
      <c r="AR30" s="11">
        <v>96</v>
      </c>
      <c r="AS30" s="11"/>
      <c r="AT30" s="11"/>
      <c r="AU30" s="20" t="str">
        <f>HYPERLINK("http://www.openstreetmap.org/?mlat=33.3526&amp;mlon=43.7654&amp;zoom=12#map=12/33.3526/43.7654","Maplink1")</f>
        <v>Maplink1</v>
      </c>
      <c r="AV30" s="20" t="str">
        <f>HYPERLINK("https://www.google.iq/maps/search/+33.3526,43.7654/@33.3526,43.7654,14z?hl=en","Maplink2")</f>
        <v>Maplink2</v>
      </c>
      <c r="AW30" s="20" t="str">
        <f>HYPERLINK("http://www.bing.com/maps/?lvl=14&amp;sty=h&amp;cp=33.3526~43.7654&amp;sp=point.33.3526_43.7654","Maplink3")</f>
        <v>Maplink3</v>
      </c>
    </row>
    <row r="31" spans="1:49" x14ac:dyDescent="0.25">
      <c r="A31" s="9">
        <v>31878</v>
      </c>
      <c r="B31" s="10" t="s">
        <v>8</v>
      </c>
      <c r="C31" s="10" t="s">
        <v>95</v>
      </c>
      <c r="D31" s="10" t="s">
        <v>133</v>
      </c>
      <c r="E31" s="10" t="s">
        <v>134</v>
      </c>
      <c r="F31" s="10">
        <v>33.651864000000003</v>
      </c>
      <c r="G31" s="10">
        <v>43.693095999999997</v>
      </c>
      <c r="H31" s="11">
        <v>789</v>
      </c>
      <c r="I31" s="11">
        <v>4734</v>
      </c>
      <c r="J31" s="11">
        <v>139</v>
      </c>
      <c r="K31" s="11"/>
      <c r="L31" s="11">
        <v>334</v>
      </c>
      <c r="M31" s="11"/>
      <c r="N31" s="11"/>
      <c r="O31" s="11"/>
      <c r="P31" s="11">
        <v>150</v>
      </c>
      <c r="Q31" s="11"/>
      <c r="R31" s="11">
        <v>166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>
        <v>789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v>334</v>
      </c>
      <c r="AN31" s="11"/>
      <c r="AO31" s="11"/>
      <c r="AP31" s="11">
        <v>166</v>
      </c>
      <c r="AQ31" s="11">
        <v>196</v>
      </c>
      <c r="AR31" s="11">
        <v>93</v>
      </c>
      <c r="AS31" s="11"/>
      <c r="AT31" s="11"/>
      <c r="AU31" s="20" t="str">
        <f>HYPERLINK("http://www.openstreetmap.org/?mlat=33.6519&amp;mlon=43.6931&amp;zoom=12#map=12/33.6519/43.6931","Maplink1")</f>
        <v>Maplink1</v>
      </c>
      <c r="AV31" s="20" t="str">
        <f>HYPERLINK("https://www.google.iq/maps/search/+33.6519,43.6931/@33.6519,43.6931,14z?hl=en","Maplink2")</f>
        <v>Maplink2</v>
      </c>
      <c r="AW31" s="20" t="str">
        <f>HYPERLINK("http://www.bing.com/maps/?lvl=14&amp;sty=h&amp;cp=33.6519~43.6931&amp;sp=point.33.6519_43.6931","Maplink3")</f>
        <v>Maplink3</v>
      </c>
    </row>
    <row r="32" spans="1:49" x14ac:dyDescent="0.25">
      <c r="A32" s="9">
        <v>31877</v>
      </c>
      <c r="B32" s="10" t="s">
        <v>8</v>
      </c>
      <c r="C32" s="10" t="s">
        <v>95</v>
      </c>
      <c r="D32" s="10" t="s">
        <v>135</v>
      </c>
      <c r="E32" s="10" t="s">
        <v>136</v>
      </c>
      <c r="F32" s="10">
        <v>33.163539999999998</v>
      </c>
      <c r="G32" s="10">
        <v>43.864579999999997</v>
      </c>
      <c r="H32" s="11">
        <v>274</v>
      </c>
      <c r="I32" s="11">
        <v>1644</v>
      </c>
      <c r="J32" s="11"/>
      <c r="K32" s="11"/>
      <c r="L32" s="11">
        <v>99</v>
      </c>
      <c r="M32" s="11"/>
      <c r="N32" s="11"/>
      <c r="O32" s="11"/>
      <c r="P32" s="11"/>
      <c r="Q32" s="11"/>
      <c r="R32" s="11">
        <v>175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>
        <v>274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>
        <v>99</v>
      </c>
      <c r="AN32" s="11"/>
      <c r="AO32" s="11"/>
      <c r="AP32" s="11">
        <v>175</v>
      </c>
      <c r="AQ32" s="11"/>
      <c r="AR32" s="11"/>
      <c r="AS32" s="11"/>
      <c r="AT32" s="11"/>
      <c r="AU32" s="20" t="str">
        <f>HYPERLINK("http://www.openstreetmap.org/?mlat=33.1635&amp;mlon=43.8646&amp;zoom=12#map=12/33.1635/43.8646","Maplink1")</f>
        <v>Maplink1</v>
      </c>
      <c r="AV32" s="20" t="str">
        <f>HYPERLINK("https://www.google.iq/maps/search/+33.1635,43.8646/@33.1635,43.8646,14z?hl=en","Maplink2")</f>
        <v>Maplink2</v>
      </c>
      <c r="AW32" s="20" t="str">
        <f>HYPERLINK("http://www.bing.com/maps/?lvl=14&amp;sty=h&amp;cp=33.1635~43.8646&amp;sp=point.33.1635_43.8646","Maplink3")</f>
        <v>Maplink3</v>
      </c>
    </row>
    <row r="33" spans="1:49" x14ac:dyDescent="0.25">
      <c r="A33" s="9">
        <v>20899</v>
      </c>
      <c r="B33" s="10" t="s">
        <v>8</v>
      </c>
      <c r="C33" s="10" t="s">
        <v>95</v>
      </c>
      <c r="D33" s="10" t="s">
        <v>1794</v>
      </c>
      <c r="E33" s="10" t="s">
        <v>102</v>
      </c>
      <c r="F33" s="10">
        <v>33.341909999999999</v>
      </c>
      <c r="G33" s="10">
        <v>43.65869</v>
      </c>
      <c r="H33" s="11">
        <v>2498</v>
      </c>
      <c r="I33" s="11">
        <v>14988</v>
      </c>
      <c r="J33" s="11">
        <v>1429</v>
      </c>
      <c r="K33" s="11"/>
      <c r="L33" s="11">
        <v>625</v>
      </c>
      <c r="M33" s="11"/>
      <c r="N33" s="11"/>
      <c r="O33" s="11"/>
      <c r="P33" s="11">
        <v>321</v>
      </c>
      <c r="Q33" s="11"/>
      <c r="R33" s="11">
        <v>80</v>
      </c>
      <c r="S33" s="11"/>
      <c r="T33" s="11"/>
      <c r="U33" s="11"/>
      <c r="V33" s="11"/>
      <c r="W33" s="11"/>
      <c r="X33" s="11"/>
      <c r="Y33" s="11">
        <v>43</v>
      </c>
      <c r="Z33" s="11"/>
      <c r="AA33" s="11"/>
      <c r="AB33" s="11"/>
      <c r="AC33" s="11">
        <v>2441</v>
      </c>
      <c r="AD33" s="11"/>
      <c r="AE33" s="11"/>
      <c r="AF33" s="11"/>
      <c r="AG33" s="11"/>
      <c r="AH33" s="11"/>
      <c r="AI33" s="11">
        <v>57</v>
      </c>
      <c r="AJ33" s="11"/>
      <c r="AK33" s="11"/>
      <c r="AL33" s="11"/>
      <c r="AM33" s="11">
        <v>828</v>
      </c>
      <c r="AN33" s="11">
        <v>211</v>
      </c>
      <c r="AO33" s="11"/>
      <c r="AP33" s="11">
        <v>137</v>
      </c>
      <c r="AQ33" s="11">
        <v>849</v>
      </c>
      <c r="AR33" s="11">
        <v>473</v>
      </c>
      <c r="AS33" s="11"/>
      <c r="AT33" s="11"/>
      <c r="AU33" s="20" t="str">
        <f>HYPERLINK("http://www.openstreetmap.org/?mlat=33.3419&amp;mlon=43.6587&amp;zoom=12#map=12/33.3419/43.6587","Maplink1")</f>
        <v>Maplink1</v>
      </c>
      <c r="AV33" s="20" t="str">
        <f>HYPERLINK("https://www.google.iq/maps/search/+33.3419,43.6587/@33.3419,43.6587,14z?hl=en","Maplink2")</f>
        <v>Maplink2</v>
      </c>
      <c r="AW33" s="20" t="str">
        <f>HYPERLINK("http://www.bing.com/maps/?lvl=14&amp;sty=h&amp;cp=33.3419~43.6587&amp;sp=point.33.3419_43.6587","Maplink3")</f>
        <v>Maplink3</v>
      </c>
    </row>
    <row r="34" spans="1:49" x14ac:dyDescent="0.25">
      <c r="A34" s="9">
        <v>173</v>
      </c>
      <c r="B34" s="10" t="s">
        <v>8</v>
      </c>
      <c r="C34" s="10" t="s">
        <v>95</v>
      </c>
      <c r="D34" s="10" t="s">
        <v>137</v>
      </c>
      <c r="E34" s="10" t="s">
        <v>138</v>
      </c>
      <c r="F34" s="10">
        <v>33.353520000000003</v>
      </c>
      <c r="G34" s="10">
        <v>43.77534</v>
      </c>
      <c r="H34" s="11">
        <v>2356</v>
      </c>
      <c r="I34" s="11">
        <v>14136</v>
      </c>
      <c r="J34" s="11">
        <v>1212</v>
      </c>
      <c r="K34" s="11"/>
      <c r="L34" s="11">
        <v>177</v>
      </c>
      <c r="M34" s="11"/>
      <c r="N34" s="11"/>
      <c r="O34" s="11"/>
      <c r="P34" s="11">
        <v>625</v>
      </c>
      <c r="Q34" s="11"/>
      <c r="R34" s="11">
        <v>132</v>
      </c>
      <c r="S34" s="11"/>
      <c r="T34" s="11"/>
      <c r="U34" s="11"/>
      <c r="V34" s="11"/>
      <c r="W34" s="11"/>
      <c r="X34" s="11"/>
      <c r="Y34" s="11">
        <v>210</v>
      </c>
      <c r="Z34" s="11"/>
      <c r="AA34" s="11"/>
      <c r="AB34" s="11"/>
      <c r="AC34" s="11">
        <v>2149</v>
      </c>
      <c r="AD34" s="11"/>
      <c r="AE34" s="11"/>
      <c r="AF34" s="11"/>
      <c r="AG34" s="11"/>
      <c r="AH34" s="11"/>
      <c r="AI34" s="11">
        <v>207</v>
      </c>
      <c r="AJ34" s="11"/>
      <c r="AK34" s="11"/>
      <c r="AL34" s="11"/>
      <c r="AM34" s="11">
        <v>871</v>
      </c>
      <c r="AN34" s="11">
        <v>682</v>
      </c>
      <c r="AO34" s="11"/>
      <c r="AP34" s="11">
        <v>245</v>
      </c>
      <c r="AQ34" s="11">
        <v>408</v>
      </c>
      <c r="AR34" s="11">
        <v>150</v>
      </c>
      <c r="AS34" s="11"/>
      <c r="AT34" s="11"/>
      <c r="AU34" s="20" t="str">
        <f>HYPERLINK("http://www.openstreetmap.org/?mlat=33.3535&amp;mlon=43.7753&amp;zoom=12#map=12/33.3535/43.7753","Maplink1")</f>
        <v>Maplink1</v>
      </c>
      <c r="AV34" s="20" t="str">
        <f>HYPERLINK("https://www.google.iq/maps/search/+33.3535,43.7753/@33.3535,43.7753,14z?hl=en","Maplink2")</f>
        <v>Maplink2</v>
      </c>
      <c r="AW34" s="20" t="str">
        <f>HYPERLINK("http://www.bing.com/maps/?lvl=14&amp;sty=h&amp;cp=33.3535~43.7753&amp;sp=point.33.3535_43.7753","Maplink3")</f>
        <v>Maplink3</v>
      </c>
    </row>
    <row r="35" spans="1:49" x14ac:dyDescent="0.25">
      <c r="A35" s="9">
        <v>299</v>
      </c>
      <c r="B35" s="10" t="s">
        <v>8</v>
      </c>
      <c r="C35" s="10" t="s">
        <v>95</v>
      </c>
      <c r="D35" s="10" t="s">
        <v>139</v>
      </c>
      <c r="E35" s="10" t="s">
        <v>140</v>
      </c>
      <c r="F35" s="10">
        <v>33.362459999999999</v>
      </c>
      <c r="G35" s="10">
        <v>43.763039999999997</v>
      </c>
      <c r="H35" s="11">
        <v>2997</v>
      </c>
      <c r="I35" s="11">
        <v>17982</v>
      </c>
      <c r="J35" s="11">
        <v>1535</v>
      </c>
      <c r="K35" s="11"/>
      <c r="L35" s="11">
        <v>622</v>
      </c>
      <c r="M35" s="11"/>
      <c r="N35" s="11"/>
      <c r="O35" s="11"/>
      <c r="P35" s="11">
        <v>384</v>
      </c>
      <c r="Q35" s="11"/>
      <c r="R35" s="11">
        <v>198</v>
      </c>
      <c r="S35" s="11"/>
      <c r="T35" s="11"/>
      <c r="U35" s="11"/>
      <c r="V35" s="11"/>
      <c r="W35" s="11"/>
      <c r="X35" s="11"/>
      <c r="Y35" s="11">
        <v>258</v>
      </c>
      <c r="Z35" s="11"/>
      <c r="AA35" s="11"/>
      <c r="AB35" s="11"/>
      <c r="AC35" s="11">
        <v>2748</v>
      </c>
      <c r="AD35" s="11"/>
      <c r="AE35" s="11"/>
      <c r="AF35" s="11"/>
      <c r="AG35" s="11"/>
      <c r="AH35" s="11"/>
      <c r="AI35" s="11">
        <v>249</v>
      </c>
      <c r="AJ35" s="11"/>
      <c r="AK35" s="11"/>
      <c r="AL35" s="11"/>
      <c r="AM35" s="11">
        <v>1609</v>
      </c>
      <c r="AN35" s="11">
        <v>146</v>
      </c>
      <c r="AO35" s="11"/>
      <c r="AP35" s="11">
        <v>273</v>
      </c>
      <c r="AQ35" s="11">
        <v>640</v>
      </c>
      <c r="AR35" s="11">
        <v>329</v>
      </c>
      <c r="AS35" s="11"/>
      <c r="AT35" s="11"/>
      <c r="AU35" s="20" t="str">
        <f>HYPERLINK("http://www.openstreetmap.org/?mlat=33.3625&amp;mlon=43.763&amp;zoom=12#map=12/33.3625/43.763","Maplink1")</f>
        <v>Maplink1</v>
      </c>
      <c r="AV35" s="20" t="str">
        <f>HYPERLINK("https://www.google.iq/maps/search/+33.3625,43.763/@33.3625,43.763,14z?hl=en","Maplink2")</f>
        <v>Maplink2</v>
      </c>
      <c r="AW35" s="20" t="str">
        <f>HYPERLINK("http://www.bing.com/maps/?lvl=14&amp;sty=h&amp;cp=33.3625~43.763&amp;sp=point.33.3625_43.763","Maplink3")</f>
        <v>Maplink3</v>
      </c>
    </row>
    <row r="36" spans="1:49" x14ac:dyDescent="0.25">
      <c r="A36" s="9">
        <v>31881</v>
      </c>
      <c r="B36" s="10" t="s">
        <v>8</v>
      </c>
      <c r="C36" s="10" t="s">
        <v>95</v>
      </c>
      <c r="D36" s="10" t="s">
        <v>141</v>
      </c>
      <c r="E36" s="10" t="s">
        <v>142</v>
      </c>
      <c r="F36" s="10">
        <v>33.415488000000003</v>
      </c>
      <c r="G36" s="10">
        <v>43.938712000000002</v>
      </c>
      <c r="H36" s="11">
        <v>573</v>
      </c>
      <c r="I36" s="11">
        <v>3438</v>
      </c>
      <c r="J36" s="11">
        <v>125</v>
      </c>
      <c r="K36" s="11"/>
      <c r="L36" s="11">
        <v>166</v>
      </c>
      <c r="M36" s="11"/>
      <c r="N36" s="11"/>
      <c r="O36" s="11"/>
      <c r="P36" s="11">
        <v>105</v>
      </c>
      <c r="Q36" s="11"/>
      <c r="R36" s="11">
        <v>177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503</v>
      </c>
      <c r="AD36" s="11"/>
      <c r="AE36" s="11"/>
      <c r="AF36" s="11"/>
      <c r="AG36" s="11"/>
      <c r="AH36" s="11"/>
      <c r="AI36" s="11">
        <v>70</v>
      </c>
      <c r="AJ36" s="11"/>
      <c r="AK36" s="11"/>
      <c r="AL36" s="11"/>
      <c r="AM36" s="11">
        <v>175</v>
      </c>
      <c r="AN36" s="11">
        <v>177</v>
      </c>
      <c r="AO36" s="11"/>
      <c r="AP36" s="11">
        <v>166</v>
      </c>
      <c r="AQ36" s="11">
        <v>55</v>
      </c>
      <c r="AR36" s="11"/>
      <c r="AS36" s="11"/>
      <c r="AT36" s="11"/>
      <c r="AU36" s="20" t="str">
        <f>HYPERLINK("http://www.openstreetmap.org/?mlat=33.4155&amp;mlon=43.9387&amp;zoom=12#map=12/33.4155/43.9387","Maplink1")</f>
        <v>Maplink1</v>
      </c>
      <c r="AV36" s="20" t="str">
        <f>HYPERLINK("https://www.google.iq/maps/search/+33.4155,43.9387/@33.4155,43.9387,14z?hl=en","Maplink2")</f>
        <v>Maplink2</v>
      </c>
      <c r="AW36" s="20" t="str">
        <f>HYPERLINK("http://www.bing.com/maps/?lvl=14&amp;sty=h&amp;cp=33.4155~43.9387&amp;sp=point.33.4155_43.9387","Maplink3")</f>
        <v>Maplink3</v>
      </c>
    </row>
    <row r="37" spans="1:49" x14ac:dyDescent="0.25">
      <c r="A37" s="9">
        <v>178</v>
      </c>
      <c r="B37" s="10" t="s">
        <v>8</v>
      </c>
      <c r="C37" s="10" t="s">
        <v>95</v>
      </c>
      <c r="D37" s="10" t="s">
        <v>143</v>
      </c>
      <c r="E37" s="10" t="s">
        <v>144</v>
      </c>
      <c r="F37" s="10">
        <v>33.355319999999999</v>
      </c>
      <c r="G37" s="10">
        <v>43.764240000000001</v>
      </c>
      <c r="H37" s="11">
        <v>2146</v>
      </c>
      <c r="I37" s="11">
        <v>12876</v>
      </c>
      <c r="J37" s="11">
        <v>1173</v>
      </c>
      <c r="K37" s="11"/>
      <c r="L37" s="11">
        <v>444</v>
      </c>
      <c r="M37" s="11"/>
      <c r="N37" s="11"/>
      <c r="O37" s="11"/>
      <c r="P37" s="11">
        <v>340</v>
      </c>
      <c r="Q37" s="11"/>
      <c r="R37" s="11">
        <v>106</v>
      </c>
      <c r="S37" s="11"/>
      <c r="T37" s="11"/>
      <c r="U37" s="11"/>
      <c r="V37" s="11"/>
      <c r="W37" s="11"/>
      <c r="X37" s="11"/>
      <c r="Y37" s="11">
        <v>83</v>
      </c>
      <c r="Z37" s="11"/>
      <c r="AA37" s="11"/>
      <c r="AB37" s="11"/>
      <c r="AC37" s="11">
        <v>2061</v>
      </c>
      <c r="AD37" s="11"/>
      <c r="AE37" s="11"/>
      <c r="AF37" s="11"/>
      <c r="AG37" s="11"/>
      <c r="AH37" s="11"/>
      <c r="AI37" s="11">
        <v>85</v>
      </c>
      <c r="AJ37" s="11"/>
      <c r="AK37" s="11"/>
      <c r="AL37" s="11"/>
      <c r="AM37" s="11">
        <v>1228</v>
      </c>
      <c r="AN37" s="11"/>
      <c r="AO37" s="11"/>
      <c r="AP37" s="11">
        <v>243</v>
      </c>
      <c r="AQ37" s="11">
        <v>140</v>
      </c>
      <c r="AR37" s="11">
        <v>535</v>
      </c>
      <c r="AS37" s="11"/>
      <c r="AT37" s="11"/>
      <c r="AU37" s="20" t="str">
        <f>HYPERLINK("http://www.openstreetmap.org/?mlat=33.3553&amp;mlon=43.7642&amp;zoom=12#map=12/33.3553/43.7642","Maplink1")</f>
        <v>Maplink1</v>
      </c>
      <c r="AV37" s="20" t="str">
        <f>HYPERLINK("https://www.google.iq/maps/search/+33.3553,43.7642/@33.3553,43.7642,14z?hl=en","Maplink2")</f>
        <v>Maplink2</v>
      </c>
      <c r="AW37" s="20" t="str">
        <f>HYPERLINK("http://www.bing.com/maps/?lvl=14&amp;sty=h&amp;cp=33.3553~43.7642&amp;sp=point.33.3553_43.7642","Maplink3")</f>
        <v>Maplink3</v>
      </c>
    </row>
    <row r="38" spans="1:49" x14ac:dyDescent="0.25">
      <c r="A38" s="9">
        <v>20937</v>
      </c>
      <c r="B38" s="10" t="s">
        <v>8</v>
      </c>
      <c r="C38" s="10" t="s">
        <v>95</v>
      </c>
      <c r="D38" s="10" t="s">
        <v>1795</v>
      </c>
      <c r="E38" s="10" t="s">
        <v>112</v>
      </c>
      <c r="F38" s="10">
        <v>33.392164000000001</v>
      </c>
      <c r="G38" s="10">
        <v>43.869338999999997</v>
      </c>
      <c r="H38" s="11">
        <v>337</v>
      </c>
      <c r="I38" s="11">
        <v>2022</v>
      </c>
      <c r="J38" s="11">
        <v>209</v>
      </c>
      <c r="K38" s="11"/>
      <c r="L38" s="11"/>
      <c r="M38" s="11"/>
      <c r="N38" s="11"/>
      <c r="O38" s="11"/>
      <c r="P38" s="11"/>
      <c r="Q38" s="11"/>
      <c r="R38" s="11">
        <v>128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>
        <v>337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>
        <v>121</v>
      </c>
      <c r="AO38" s="11"/>
      <c r="AP38" s="11">
        <v>88</v>
      </c>
      <c r="AQ38" s="11">
        <v>128</v>
      </c>
      <c r="AR38" s="11"/>
      <c r="AS38" s="11"/>
      <c r="AT38" s="11"/>
      <c r="AU38" s="20" t="str">
        <f>HYPERLINK("http://www.openstreetmap.org/?mlat=33.3922&amp;mlon=43.8693&amp;zoom=12#map=12/33.3922/43.8693","Maplink1")</f>
        <v>Maplink1</v>
      </c>
      <c r="AV38" s="20" t="str">
        <f>HYPERLINK("https://www.google.iq/maps/search/+33.3922,43.8693/@33.3922,43.8693,14z?hl=en","Maplink2")</f>
        <v>Maplink2</v>
      </c>
      <c r="AW38" s="20" t="str">
        <f>HYPERLINK("http://www.bing.com/maps/?lvl=14&amp;sty=h&amp;cp=33.3922~43.8693&amp;sp=point.33.3922_43.8693","Maplink3")</f>
        <v>Maplink3</v>
      </c>
    </row>
    <row r="39" spans="1:49" x14ac:dyDescent="0.25">
      <c r="A39" s="9">
        <v>143</v>
      </c>
      <c r="B39" s="10" t="s">
        <v>8</v>
      </c>
      <c r="C39" s="10" t="s">
        <v>95</v>
      </c>
      <c r="D39" s="10" t="s">
        <v>1796</v>
      </c>
      <c r="E39" s="10" t="s">
        <v>117</v>
      </c>
      <c r="F39" s="10">
        <v>33.386118000000003</v>
      </c>
      <c r="G39" s="10">
        <v>43.90437</v>
      </c>
      <c r="H39" s="11">
        <v>1904</v>
      </c>
      <c r="I39" s="11">
        <v>11424</v>
      </c>
      <c r="J39" s="11">
        <v>1328</v>
      </c>
      <c r="K39" s="11"/>
      <c r="L39" s="11">
        <v>493</v>
      </c>
      <c r="M39" s="11"/>
      <c r="N39" s="11"/>
      <c r="O39" s="11"/>
      <c r="P39" s="11">
        <v>83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>
        <v>1799</v>
      </c>
      <c r="AD39" s="11"/>
      <c r="AE39" s="11"/>
      <c r="AF39" s="11"/>
      <c r="AG39" s="11"/>
      <c r="AH39" s="11"/>
      <c r="AI39" s="11">
        <v>105</v>
      </c>
      <c r="AJ39" s="11"/>
      <c r="AK39" s="11"/>
      <c r="AL39" s="11"/>
      <c r="AM39" s="11">
        <v>469</v>
      </c>
      <c r="AN39" s="11">
        <v>160</v>
      </c>
      <c r="AO39" s="11"/>
      <c r="AP39" s="11">
        <v>313</v>
      </c>
      <c r="AQ39" s="11">
        <v>962</v>
      </c>
      <c r="AR39" s="11"/>
      <c r="AS39" s="11"/>
      <c r="AT39" s="11"/>
      <c r="AU39" s="20" t="str">
        <f>HYPERLINK("http://www.openstreetmap.org/?mlat=33.3861&amp;mlon=43.9044&amp;zoom=12#map=12/33.3861/43.9044","Maplink1")</f>
        <v>Maplink1</v>
      </c>
      <c r="AV39" s="20" t="str">
        <f>HYPERLINK("https://www.google.iq/maps/search/+33.3861,43.9044/@33.3861,43.9044,14z?hl=en","Maplink2")</f>
        <v>Maplink2</v>
      </c>
      <c r="AW39" s="20" t="str">
        <f>HYPERLINK("http://www.bing.com/maps/?lvl=14&amp;sty=h&amp;cp=33.3861~43.9044&amp;sp=point.33.3861_43.9044","Maplink3")</f>
        <v>Maplink3</v>
      </c>
    </row>
    <row r="40" spans="1:49" x14ac:dyDescent="0.25">
      <c r="A40" s="9">
        <v>142</v>
      </c>
      <c r="B40" s="10" t="s">
        <v>8</v>
      </c>
      <c r="C40" s="10" t="s">
        <v>95</v>
      </c>
      <c r="D40" s="10" t="s">
        <v>1797</v>
      </c>
      <c r="E40" s="10" t="s">
        <v>118</v>
      </c>
      <c r="F40" s="10">
        <v>33.384627999999999</v>
      </c>
      <c r="G40" s="10">
        <v>43.876576999999997</v>
      </c>
      <c r="H40" s="11">
        <v>2106</v>
      </c>
      <c r="I40" s="11">
        <v>12636</v>
      </c>
      <c r="J40" s="11">
        <v>1675</v>
      </c>
      <c r="K40" s="11"/>
      <c r="L40" s="11">
        <v>359</v>
      </c>
      <c r="M40" s="11"/>
      <c r="N40" s="11"/>
      <c r="O40" s="11"/>
      <c r="P40" s="11">
        <v>72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2026</v>
      </c>
      <c r="AD40" s="11"/>
      <c r="AE40" s="11"/>
      <c r="AF40" s="11"/>
      <c r="AG40" s="11"/>
      <c r="AH40" s="11"/>
      <c r="AI40" s="11">
        <v>80</v>
      </c>
      <c r="AJ40" s="11"/>
      <c r="AK40" s="11"/>
      <c r="AL40" s="11"/>
      <c r="AM40" s="11">
        <v>202</v>
      </c>
      <c r="AN40" s="11">
        <v>235</v>
      </c>
      <c r="AO40" s="11"/>
      <c r="AP40" s="11">
        <v>72</v>
      </c>
      <c r="AQ40" s="11">
        <v>1597</v>
      </c>
      <c r="AR40" s="11"/>
      <c r="AS40" s="11"/>
      <c r="AT40" s="11"/>
      <c r="AU40" s="20" t="str">
        <f>HYPERLINK("http://www.openstreetmap.org/?mlat=33.3846&amp;mlon=43.8766&amp;zoom=12#map=12/33.3846/43.8766","Maplink1")</f>
        <v>Maplink1</v>
      </c>
      <c r="AV40" s="20" t="str">
        <f>HYPERLINK("https://www.google.iq/maps/search/+33.3846,43.8766/@33.3846,43.8766,14z?hl=en","Maplink2")</f>
        <v>Maplink2</v>
      </c>
      <c r="AW40" s="20" t="str">
        <f>HYPERLINK("http://www.bing.com/maps/?lvl=14&amp;sty=h&amp;cp=33.3846~43.8766&amp;sp=point.33.3846_43.8766","Maplink3")</f>
        <v>Maplink3</v>
      </c>
    </row>
    <row r="41" spans="1:49" x14ac:dyDescent="0.25">
      <c r="A41" s="9">
        <v>148</v>
      </c>
      <c r="B41" s="10" t="s">
        <v>8</v>
      </c>
      <c r="C41" s="10" t="s">
        <v>95</v>
      </c>
      <c r="D41" s="10" t="s">
        <v>145</v>
      </c>
      <c r="E41" s="10" t="s">
        <v>146</v>
      </c>
      <c r="F41" s="10">
        <v>33.355879999999999</v>
      </c>
      <c r="G41" s="10">
        <v>43.780320000000003</v>
      </c>
      <c r="H41" s="11">
        <v>2227</v>
      </c>
      <c r="I41" s="11">
        <v>13362</v>
      </c>
      <c r="J41" s="11">
        <v>1205</v>
      </c>
      <c r="K41" s="11"/>
      <c r="L41" s="11">
        <v>413</v>
      </c>
      <c r="M41" s="11"/>
      <c r="N41" s="11"/>
      <c r="O41" s="11"/>
      <c r="P41" s="11">
        <v>269</v>
      </c>
      <c r="Q41" s="11"/>
      <c r="R41" s="11">
        <v>200</v>
      </c>
      <c r="S41" s="11"/>
      <c r="T41" s="11"/>
      <c r="U41" s="11"/>
      <c r="V41" s="11"/>
      <c r="W41" s="11"/>
      <c r="X41" s="11"/>
      <c r="Y41" s="11">
        <v>140</v>
      </c>
      <c r="Z41" s="11"/>
      <c r="AA41" s="11"/>
      <c r="AB41" s="11"/>
      <c r="AC41" s="11">
        <v>2227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1452</v>
      </c>
      <c r="AN41" s="11"/>
      <c r="AO41" s="11"/>
      <c r="AP41" s="11">
        <v>97</v>
      </c>
      <c r="AQ41" s="11">
        <v>434</v>
      </c>
      <c r="AR41" s="11">
        <v>244</v>
      </c>
      <c r="AS41" s="11"/>
      <c r="AT41" s="11"/>
      <c r="AU41" s="20" t="str">
        <f>HYPERLINK("http://www.openstreetmap.org/?mlat=33.3559&amp;mlon=43.7803&amp;zoom=12#map=12/33.3559/43.7803","Maplink1")</f>
        <v>Maplink1</v>
      </c>
      <c r="AV41" s="20" t="str">
        <f>HYPERLINK("https://www.google.iq/maps/search/+33.3559,43.7803/@33.3559,43.7803,14z?hl=en","Maplink2")</f>
        <v>Maplink2</v>
      </c>
      <c r="AW41" s="20" t="str">
        <f>HYPERLINK("http://www.bing.com/maps/?lvl=14&amp;sty=h&amp;cp=33.3559~43.7803&amp;sp=point.33.3559_43.7803","Maplink3")</f>
        <v>Maplink3</v>
      </c>
    </row>
    <row r="42" spans="1:49" x14ac:dyDescent="0.25">
      <c r="A42" s="9">
        <v>319</v>
      </c>
      <c r="B42" s="10" t="s">
        <v>8</v>
      </c>
      <c r="C42" s="10" t="s">
        <v>95</v>
      </c>
      <c r="D42" s="10" t="s">
        <v>1798</v>
      </c>
      <c r="E42" s="10" t="s">
        <v>126</v>
      </c>
      <c r="F42" s="10">
        <v>33.336509999999997</v>
      </c>
      <c r="G42" s="10">
        <v>43.749310000000001</v>
      </c>
      <c r="H42" s="11">
        <v>2769</v>
      </c>
      <c r="I42" s="11">
        <v>16614</v>
      </c>
      <c r="J42" s="11">
        <v>2258</v>
      </c>
      <c r="K42" s="11"/>
      <c r="L42" s="11">
        <v>220</v>
      </c>
      <c r="M42" s="11"/>
      <c r="N42" s="11"/>
      <c r="O42" s="11"/>
      <c r="P42" s="11">
        <v>210</v>
      </c>
      <c r="Q42" s="11"/>
      <c r="R42" s="11">
        <v>81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2709</v>
      </c>
      <c r="AD42" s="11"/>
      <c r="AE42" s="11"/>
      <c r="AF42" s="11"/>
      <c r="AG42" s="11"/>
      <c r="AH42" s="11"/>
      <c r="AI42" s="11">
        <v>60</v>
      </c>
      <c r="AJ42" s="11"/>
      <c r="AK42" s="11"/>
      <c r="AL42" s="11"/>
      <c r="AM42" s="11">
        <v>1352</v>
      </c>
      <c r="AN42" s="11">
        <v>31</v>
      </c>
      <c r="AO42" s="11"/>
      <c r="AP42" s="11">
        <v>199</v>
      </c>
      <c r="AQ42" s="11">
        <v>705</v>
      </c>
      <c r="AR42" s="11">
        <v>482</v>
      </c>
      <c r="AS42" s="11"/>
      <c r="AT42" s="11"/>
      <c r="AU42" s="20" t="str">
        <f>HYPERLINK("http://www.openstreetmap.org/?mlat=33.3365&amp;mlon=43.7493&amp;zoom=12#map=12/33.3365/43.7493","Maplink1")</f>
        <v>Maplink1</v>
      </c>
      <c r="AV42" s="20" t="str">
        <f>HYPERLINK("https://www.google.iq/maps/search/+33.3365,43.7493/@33.3365,43.7493,14z?hl=en","Maplink2")</f>
        <v>Maplink2</v>
      </c>
      <c r="AW42" s="20" t="str">
        <f>HYPERLINK("http://www.bing.com/maps/?lvl=14&amp;sty=h&amp;cp=33.3365~43.7493&amp;sp=point.33.3365_43.7493","Maplink3")</f>
        <v>Maplink3</v>
      </c>
    </row>
    <row r="43" spans="1:49" x14ac:dyDescent="0.25">
      <c r="A43" s="9">
        <v>24770</v>
      </c>
      <c r="B43" s="10" t="s">
        <v>8</v>
      </c>
      <c r="C43" s="10" t="s">
        <v>95</v>
      </c>
      <c r="D43" s="10" t="s">
        <v>2072</v>
      </c>
      <c r="E43" s="10" t="s">
        <v>2073</v>
      </c>
      <c r="F43" s="10">
        <v>33.417757999999999</v>
      </c>
      <c r="G43" s="10">
        <v>43.894772000000003</v>
      </c>
      <c r="H43" s="11">
        <v>42</v>
      </c>
      <c r="I43" s="11">
        <v>252</v>
      </c>
      <c r="J43" s="11">
        <v>42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42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>
        <v>42</v>
      </c>
      <c r="AR43" s="11"/>
      <c r="AS43" s="11"/>
      <c r="AT43" s="11"/>
      <c r="AU43" s="20" t="str">
        <f>HYPERLINK("http://www.openstreetmap.org/?mlat=33.4178&amp;mlon=43.8948&amp;zoom=12#map=12/33.4178/43.8948","Maplink1")</f>
        <v>Maplink1</v>
      </c>
      <c r="AV43" s="20" t="str">
        <f>HYPERLINK("https://www.google.iq/maps/search/+33.4178,43.8948/@33.4178,43.8948,14z?hl=en","Maplink2")</f>
        <v>Maplink2</v>
      </c>
      <c r="AW43" s="20" t="str">
        <f>HYPERLINK("http://www.bing.com/maps/?lvl=14&amp;sty=h&amp;cp=33.4178~43.8948&amp;sp=point.33.4178_43.8948","Maplink3")</f>
        <v>Maplink3</v>
      </c>
    </row>
    <row r="44" spans="1:49" x14ac:dyDescent="0.25">
      <c r="A44" s="9">
        <v>324</v>
      </c>
      <c r="B44" s="10" t="s">
        <v>8</v>
      </c>
      <c r="C44" s="10" t="s">
        <v>95</v>
      </c>
      <c r="D44" s="10" t="s">
        <v>1799</v>
      </c>
      <c r="E44" s="10" t="s">
        <v>150</v>
      </c>
      <c r="F44" s="10">
        <v>33.30283</v>
      </c>
      <c r="G44" s="10">
        <v>43.751420000000003</v>
      </c>
      <c r="H44" s="11">
        <v>831</v>
      </c>
      <c r="I44" s="11">
        <v>4986</v>
      </c>
      <c r="J44" s="11">
        <v>402</v>
      </c>
      <c r="K44" s="11"/>
      <c r="L44" s="11"/>
      <c r="M44" s="11"/>
      <c r="N44" s="11"/>
      <c r="O44" s="11"/>
      <c r="P44" s="11">
        <v>160</v>
      </c>
      <c r="Q44" s="11"/>
      <c r="R44" s="11">
        <v>140</v>
      </c>
      <c r="S44" s="11"/>
      <c r="T44" s="11"/>
      <c r="U44" s="11"/>
      <c r="V44" s="11"/>
      <c r="W44" s="11"/>
      <c r="X44" s="11"/>
      <c r="Y44" s="11">
        <v>129</v>
      </c>
      <c r="Z44" s="11"/>
      <c r="AA44" s="11"/>
      <c r="AB44" s="11"/>
      <c r="AC44" s="11">
        <v>831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>
        <v>786</v>
      </c>
      <c r="AN44" s="11"/>
      <c r="AO44" s="11"/>
      <c r="AP44" s="11">
        <v>45</v>
      </c>
      <c r="AQ44" s="11"/>
      <c r="AR44" s="11"/>
      <c r="AS44" s="11"/>
      <c r="AT44" s="11"/>
      <c r="AU44" s="20" t="str">
        <f>HYPERLINK("http://www.openstreetmap.org/?mlat=33.3028&amp;mlon=43.7514&amp;zoom=12#map=12/33.3028/43.7514","Maplink1")</f>
        <v>Maplink1</v>
      </c>
      <c r="AV44" s="20" t="str">
        <f>HYPERLINK("https://www.google.iq/maps/search/+33.3028,43.7514/@33.3028,43.7514,14z?hl=en","Maplink2")</f>
        <v>Maplink2</v>
      </c>
      <c r="AW44" s="20" t="str">
        <f>HYPERLINK("http://www.bing.com/maps/?lvl=14&amp;sty=h&amp;cp=33.3028~43.7514&amp;sp=point.33.3028_43.7514","Maplink3")</f>
        <v>Maplink3</v>
      </c>
    </row>
    <row r="45" spans="1:49" x14ac:dyDescent="0.25">
      <c r="A45" s="9">
        <v>289</v>
      </c>
      <c r="B45" s="10" t="s">
        <v>8</v>
      </c>
      <c r="C45" s="10" t="s">
        <v>95</v>
      </c>
      <c r="D45" s="10" t="s">
        <v>148</v>
      </c>
      <c r="E45" s="10" t="s">
        <v>149</v>
      </c>
      <c r="F45" s="10">
        <v>33.334940000000003</v>
      </c>
      <c r="G45" s="10">
        <v>43.715409999999999</v>
      </c>
      <c r="H45" s="11">
        <v>1330</v>
      </c>
      <c r="I45" s="11">
        <v>7980</v>
      </c>
      <c r="J45" s="11">
        <v>713</v>
      </c>
      <c r="K45" s="11"/>
      <c r="L45" s="11">
        <v>226</v>
      </c>
      <c r="M45" s="11"/>
      <c r="N45" s="11"/>
      <c r="O45" s="11"/>
      <c r="P45" s="11">
        <v>213</v>
      </c>
      <c r="Q45" s="11"/>
      <c r="R45" s="11"/>
      <c r="S45" s="11"/>
      <c r="T45" s="11"/>
      <c r="U45" s="11"/>
      <c r="V45" s="11"/>
      <c r="W45" s="11"/>
      <c r="X45" s="11"/>
      <c r="Y45" s="11">
        <v>178</v>
      </c>
      <c r="Z45" s="11"/>
      <c r="AA45" s="11"/>
      <c r="AB45" s="11"/>
      <c r="AC45" s="11">
        <v>1330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>
        <v>624</v>
      </c>
      <c r="AN45" s="11">
        <v>178</v>
      </c>
      <c r="AO45" s="11"/>
      <c r="AP45" s="11">
        <v>80</v>
      </c>
      <c r="AQ45" s="11">
        <v>268</v>
      </c>
      <c r="AR45" s="11">
        <v>180</v>
      </c>
      <c r="AS45" s="11"/>
      <c r="AT45" s="11"/>
      <c r="AU45" s="20" t="str">
        <f>HYPERLINK("http://www.openstreetmap.org/?mlat=33.3349&amp;mlon=43.7154&amp;zoom=12#map=12/33.3349/43.7154","Maplink1")</f>
        <v>Maplink1</v>
      </c>
      <c r="AV45" s="20" t="str">
        <f>HYPERLINK("https://www.google.iq/maps/search/+33.3349,43.7154/@33.3349,43.7154,14z?hl=en","Maplink2")</f>
        <v>Maplink2</v>
      </c>
      <c r="AW45" s="20" t="str">
        <f>HYPERLINK("http://www.bing.com/maps/?lvl=14&amp;sty=h&amp;cp=33.3349~43.7154&amp;sp=point.33.3349_43.7154","Maplink3")</f>
        <v>Maplink3</v>
      </c>
    </row>
    <row r="46" spans="1:49" x14ac:dyDescent="0.25">
      <c r="A46" s="9">
        <v>23802</v>
      </c>
      <c r="B46" s="10" t="s">
        <v>8</v>
      </c>
      <c r="C46" s="10" t="s">
        <v>95</v>
      </c>
      <c r="D46" s="10" t="s">
        <v>152</v>
      </c>
      <c r="E46" s="10" t="s">
        <v>153</v>
      </c>
      <c r="F46" s="10">
        <v>33.250250000000001</v>
      </c>
      <c r="G46" s="10">
        <v>43.839939999999999</v>
      </c>
      <c r="H46" s="11">
        <v>392</v>
      </c>
      <c r="I46" s="11">
        <v>2352</v>
      </c>
      <c r="J46" s="11">
        <v>70</v>
      </c>
      <c r="K46" s="11"/>
      <c r="L46" s="11">
        <v>210</v>
      </c>
      <c r="M46" s="11"/>
      <c r="N46" s="11"/>
      <c r="O46" s="11"/>
      <c r="P46" s="11"/>
      <c r="Q46" s="11"/>
      <c r="R46" s="11">
        <v>112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392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>
        <v>142</v>
      </c>
      <c r="AN46" s="11">
        <v>40</v>
      </c>
      <c r="AO46" s="11"/>
      <c r="AP46" s="11">
        <v>210</v>
      </c>
      <c r="AQ46" s="11"/>
      <c r="AR46" s="11"/>
      <c r="AS46" s="11"/>
      <c r="AT46" s="11"/>
      <c r="AU46" s="20" t="str">
        <f>HYPERLINK("http://www.openstreetmap.org/?mlat=33.2503&amp;mlon=43.8399&amp;zoom=12#map=12/33.2503/43.8399","Maplink1")</f>
        <v>Maplink1</v>
      </c>
      <c r="AV46" s="20" t="str">
        <f>HYPERLINK("https://www.google.iq/maps/search/+33.2503,43.8399/@33.2503,43.8399,14z?hl=en","Maplink2")</f>
        <v>Maplink2</v>
      </c>
      <c r="AW46" s="20" t="str">
        <f>HYPERLINK("http://www.bing.com/maps/?lvl=14&amp;sty=h&amp;cp=33.2503~43.8399&amp;sp=point.33.2503_43.8399","Maplink3")</f>
        <v>Maplink3</v>
      </c>
    </row>
    <row r="47" spans="1:49" x14ac:dyDescent="0.25">
      <c r="A47" s="9">
        <v>24107</v>
      </c>
      <c r="B47" s="10" t="s">
        <v>8</v>
      </c>
      <c r="C47" s="10" t="s">
        <v>95</v>
      </c>
      <c r="D47" s="10" t="s">
        <v>1800</v>
      </c>
      <c r="E47" s="10" t="s">
        <v>154</v>
      </c>
      <c r="F47" s="10">
        <v>33.439729999999997</v>
      </c>
      <c r="G47" s="10">
        <v>43.864870000000003</v>
      </c>
      <c r="H47" s="11">
        <v>1603</v>
      </c>
      <c r="I47" s="11">
        <v>9618</v>
      </c>
      <c r="J47" s="11">
        <v>923</v>
      </c>
      <c r="K47" s="11"/>
      <c r="L47" s="11">
        <v>563</v>
      </c>
      <c r="M47" s="11"/>
      <c r="N47" s="11"/>
      <c r="O47" s="11"/>
      <c r="P47" s="11"/>
      <c r="Q47" s="11"/>
      <c r="R47" s="11">
        <v>90</v>
      </c>
      <c r="S47" s="11"/>
      <c r="T47" s="11"/>
      <c r="U47" s="11"/>
      <c r="V47" s="11"/>
      <c r="W47" s="11"/>
      <c r="X47" s="11"/>
      <c r="Y47" s="11">
        <v>27</v>
      </c>
      <c r="Z47" s="11"/>
      <c r="AA47" s="11"/>
      <c r="AB47" s="11"/>
      <c r="AC47" s="11">
        <v>1467</v>
      </c>
      <c r="AD47" s="11"/>
      <c r="AE47" s="11"/>
      <c r="AF47" s="11"/>
      <c r="AG47" s="11"/>
      <c r="AH47" s="11"/>
      <c r="AI47" s="11">
        <v>136</v>
      </c>
      <c r="AJ47" s="11"/>
      <c r="AK47" s="11"/>
      <c r="AL47" s="11"/>
      <c r="AM47" s="11">
        <v>641</v>
      </c>
      <c r="AN47" s="11">
        <v>27</v>
      </c>
      <c r="AO47" s="11"/>
      <c r="AP47" s="11">
        <v>470</v>
      </c>
      <c r="AQ47" s="11">
        <v>465</v>
      </c>
      <c r="AR47" s="11"/>
      <c r="AS47" s="11"/>
      <c r="AT47" s="11"/>
      <c r="AU47" s="20" t="str">
        <f>HYPERLINK("http://www.openstreetmap.org/?mlat=33.4397&amp;mlon=43.8649&amp;zoom=12#map=12/33.4397/43.8649","Maplink1")</f>
        <v>Maplink1</v>
      </c>
      <c r="AV47" s="20" t="str">
        <f>HYPERLINK("https://www.google.iq/maps/search/+33.4397,43.8649/@33.4397,43.8649,14z?hl=en","Maplink2")</f>
        <v>Maplink2</v>
      </c>
      <c r="AW47" s="20" t="str">
        <f>HYPERLINK("http://www.bing.com/maps/?lvl=14&amp;sty=h&amp;cp=33.4397~43.8649&amp;sp=point.33.4397_43.8649","Maplink3")</f>
        <v>Maplink3</v>
      </c>
    </row>
    <row r="48" spans="1:49" x14ac:dyDescent="0.25">
      <c r="A48" s="9">
        <v>22134</v>
      </c>
      <c r="B48" s="10" t="s">
        <v>8</v>
      </c>
      <c r="C48" s="10" t="s">
        <v>95</v>
      </c>
      <c r="D48" s="10" t="s">
        <v>155</v>
      </c>
      <c r="E48" s="10" t="s">
        <v>156</v>
      </c>
      <c r="F48" s="10">
        <v>33.429650000000002</v>
      </c>
      <c r="G48" s="10">
        <v>43.945860000000003</v>
      </c>
      <c r="H48" s="11">
        <v>2093</v>
      </c>
      <c r="I48" s="11">
        <v>12558</v>
      </c>
      <c r="J48" s="11">
        <v>1267</v>
      </c>
      <c r="K48" s="11"/>
      <c r="L48" s="11">
        <v>521</v>
      </c>
      <c r="M48" s="11"/>
      <c r="N48" s="11"/>
      <c r="O48" s="11"/>
      <c r="P48" s="11">
        <v>62</v>
      </c>
      <c r="Q48" s="11"/>
      <c r="R48" s="11">
        <v>243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>
        <v>2011</v>
      </c>
      <c r="AD48" s="11"/>
      <c r="AE48" s="11"/>
      <c r="AF48" s="11"/>
      <c r="AG48" s="11"/>
      <c r="AH48" s="11"/>
      <c r="AI48" s="11">
        <v>82</v>
      </c>
      <c r="AJ48" s="11"/>
      <c r="AK48" s="11"/>
      <c r="AL48" s="11"/>
      <c r="AM48" s="11">
        <v>603</v>
      </c>
      <c r="AN48" s="11"/>
      <c r="AO48" s="11"/>
      <c r="AP48" s="11">
        <v>270</v>
      </c>
      <c r="AQ48" s="11">
        <v>1220</v>
      </c>
      <c r="AR48" s="11"/>
      <c r="AS48" s="11"/>
      <c r="AT48" s="11"/>
      <c r="AU48" s="20" t="str">
        <f>HYPERLINK("http://www.openstreetmap.org/?mlat=33.4297&amp;mlon=43.9459&amp;zoom=12#map=12/33.4297/43.9459","Maplink1")</f>
        <v>Maplink1</v>
      </c>
      <c r="AV48" s="20" t="str">
        <f>HYPERLINK("https://www.google.iq/maps/search/+33.4297,43.9459/@33.4297,43.9459,14z?hl=en","Maplink2")</f>
        <v>Maplink2</v>
      </c>
      <c r="AW48" s="20" t="str">
        <f>HYPERLINK("http://www.bing.com/maps/?lvl=14&amp;sty=h&amp;cp=33.4297~43.9459&amp;sp=point.33.4297_43.9459","Maplink3")</f>
        <v>Maplink3</v>
      </c>
    </row>
    <row r="49" spans="1:49" x14ac:dyDescent="0.25">
      <c r="A49" s="9">
        <v>318</v>
      </c>
      <c r="B49" s="10" t="s">
        <v>8</v>
      </c>
      <c r="C49" s="10" t="s">
        <v>95</v>
      </c>
      <c r="D49" s="10" t="s">
        <v>157</v>
      </c>
      <c r="E49" s="10" t="s">
        <v>158</v>
      </c>
      <c r="F49" s="10">
        <v>33.452350000000003</v>
      </c>
      <c r="G49" s="10">
        <v>43.847650000000002</v>
      </c>
      <c r="H49" s="11">
        <v>2216</v>
      </c>
      <c r="I49" s="11">
        <v>13296</v>
      </c>
      <c r="J49" s="11">
        <v>1495</v>
      </c>
      <c r="K49" s="11"/>
      <c r="L49" s="11">
        <v>523</v>
      </c>
      <c r="M49" s="11"/>
      <c r="N49" s="11"/>
      <c r="O49" s="11"/>
      <c r="P49" s="11">
        <v>162</v>
      </c>
      <c r="Q49" s="11"/>
      <c r="R49" s="11">
        <v>36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>
        <v>2106</v>
      </c>
      <c r="AD49" s="11"/>
      <c r="AE49" s="11"/>
      <c r="AF49" s="11"/>
      <c r="AG49" s="11"/>
      <c r="AH49" s="11"/>
      <c r="AI49" s="11">
        <v>110</v>
      </c>
      <c r="AJ49" s="11"/>
      <c r="AK49" s="11"/>
      <c r="AL49" s="11"/>
      <c r="AM49" s="11">
        <v>541</v>
      </c>
      <c r="AN49" s="11">
        <v>90</v>
      </c>
      <c r="AO49" s="11"/>
      <c r="AP49" s="11">
        <v>254</v>
      </c>
      <c r="AQ49" s="11">
        <v>1331</v>
      </c>
      <c r="AR49" s="11"/>
      <c r="AS49" s="11"/>
      <c r="AT49" s="11"/>
      <c r="AU49" s="20" t="str">
        <f>HYPERLINK("http://www.openstreetmap.org/?mlat=33.4524&amp;mlon=43.8477&amp;zoom=12#map=12/33.4524/43.8477","Maplink1")</f>
        <v>Maplink1</v>
      </c>
      <c r="AV49" s="20" t="str">
        <f>HYPERLINK("https://www.google.iq/maps/search/+33.4524,43.8477/@33.4524,43.8477,14z?hl=en","Maplink2")</f>
        <v>Maplink2</v>
      </c>
      <c r="AW49" s="20" t="str">
        <f>HYPERLINK("http://www.bing.com/maps/?lvl=14&amp;sty=h&amp;cp=33.4524~43.8477&amp;sp=point.33.4524_43.8477","Maplink3")</f>
        <v>Maplink3</v>
      </c>
    </row>
    <row r="50" spans="1:49" x14ac:dyDescent="0.25">
      <c r="A50" s="9">
        <v>21125</v>
      </c>
      <c r="B50" s="10" t="s">
        <v>8</v>
      </c>
      <c r="C50" s="10" t="s">
        <v>95</v>
      </c>
      <c r="D50" s="10" t="s">
        <v>1695</v>
      </c>
      <c r="E50" s="10" t="s">
        <v>1696</v>
      </c>
      <c r="F50" s="10">
        <v>33.406418000000002</v>
      </c>
      <c r="G50" s="10">
        <v>43.810406</v>
      </c>
      <c r="H50" s="11">
        <v>179</v>
      </c>
      <c r="I50" s="11">
        <v>1074</v>
      </c>
      <c r="J50" s="11">
        <v>67</v>
      </c>
      <c r="K50" s="11"/>
      <c r="L50" s="11">
        <v>112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>
        <v>179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>
        <v>112</v>
      </c>
      <c r="AO50" s="11"/>
      <c r="AP50" s="11"/>
      <c r="AQ50" s="11">
        <v>67</v>
      </c>
      <c r="AR50" s="11"/>
      <c r="AS50" s="11"/>
      <c r="AT50" s="11"/>
      <c r="AU50" s="20" t="str">
        <f>HYPERLINK("http://www.openstreetmap.org/?mlat=33.4064&amp;mlon=43.8104&amp;zoom=12#map=12/33.4064/43.8104","Maplink1")</f>
        <v>Maplink1</v>
      </c>
      <c r="AV50" s="20" t="str">
        <f>HYPERLINK("https://www.google.iq/maps/search/+33.4064,43.8104/@33.4064,43.8104,14z?hl=en","Maplink2")</f>
        <v>Maplink2</v>
      </c>
      <c r="AW50" s="20" t="str">
        <f>HYPERLINK("http://www.bing.com/maps/?lvl=14&amp;sty=h&amp;cp=33.4064~43.8104&amp;sp=point.33.4064_43.8104","Maplink3")</f>
        <v>Maplink3</v>
      </c>
    </row>
    <row r="51" spans="1:49" x14ac:dyDescent="0.25">
      <c r="A51" s="9">
        <v>22606</v>
      </c>
      <c r="B51" s="10" t="s">
        <v>8</v>
      </c>
      <c r="C51" s="10" t="s">
        <v>95</v>
      </c>
      <c r="D51" s="10" t="s">
        <v>1801</v>
      </c>
      <c r="E51" s="10" t="s">
        <v>160</v>
      </c>
      <c r="F51" s="10">
        <v>33.390430000000002</v>
      </c>
      <c r="G51" s="10">
        <v>43.629840000000002</v>
      </c>
      <c r="H51" s="11">
        <v>1180</v>
      </c>
      <c r="I51" s="11">
        <v>7080</v>
      </c>
      <c r="J51" s="11">
        <v>698</v>
      </c>
      <c r="K51" s="11"/>
      <c r="L51" s="11">
        <v>199</v>
      </c>
      <c r="M51" s="11"/>
      <c r="N51" s="11"/>
      <c r="O51" s="11"/>
      <c r="P51" s="11">
        <v>160</v>
      </c>
      <c r="Q51" s="11"/>
      <c r="R51" s="11">
        <v>123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>
        <v>1057</v>
      </c>
      <c r="AD51" s="11"/>
      <c r="AE51" s="11"/>
      <c r="AF51" s="11"/>
      <c r="AG51" s="11"/>
      <c r="AH51" s="11"/>
      <c r="AI51" s="11">
        <v>123</v>
      </c>
      <c r="AJ51" s="11"/>
      <c r="AK51" s="11"/>
      <c r="AL51" s="11"/>
      <c r="AM51" s="11">
        <v>694</v>
      </c>
      <c r="AN51" s="11">
        <v>65</v>
      </c>
      <c r="AO51" s="11"/>
      <c r="AP51" s="11">
        <v>283</v>
      </c>
      <c r="AQ51" s="11">
        <v>120</v>
      </c>
      <c r="AR51" s="11">
        <v>18</v>
      </c>
      <c r="AS51" s="11"/>
      <c r="AT51" s="11"/>
      <c r="AU51" s="20" t="str">
        <f>HYPERLINK("http://www.openstreetmap.org/?mlat=33.3904&amp;mlon=43.6298&amp;zoom=12#map=12/33.3904/43.6298","Maplink1")</f>
        <v>Maplink1</v>
      </c>
      <c r="AV51" s="20" t="str">
        <f>HYPERLINK("https://www.google.iq/maps/search/+33.3904,43.6298/@33.3904,43.6298,14z?hl=en","Maplink2")</f>
        <v>Maplink2</v>
      </c>
      <c r="AW51" s="20" t="str">
        <f>HYPERLINK("http://www.bing.com/maps/?lvl=14&amp;sty=h&amp;cp=33.3904~43.6298&amp;sp=point.33.3904_43.6298","Maplink3")</f>
        <v>Maplink3</v>
      </c>
    </row>
    <row r="52" spans="1:49" x14ac:dyDescent="0.25">
      <c r="A52" s="9">
        <v>21201</v>
      </c>
      <c r="B52" s="10" t="s">
        <v>8</v>
      </c>
      <c r="C52" s="10" t="s">
        <v>95</v>
      </c>
      <c r="D52" s="10" t="s">
        <v>2074</v>
      </c>
      <c r="E52" s="10" t="s">
        <v>159</v>
      </c>
      <c r="F52" s="10">
        <v>33.415022999999998</v>
      </c>
      <c r="G52" s="10">
        <v>43.702190000000002</v>
      </c>
      <c r="H52" s="11">
        <v>1058</v>
      </c>
      <c r="I52" s="11">
        <v>6348</v>
      </c>
      <c r="J52" s="11">
        <v>870</v>
      </c>
      <c r="K52" s="11"/>
      <c r="L52" s="11">
        <v>87</v>
      </c>
      <c r="M52" s="11"/>
      <c r="N52" s="11"/>
      <c r="O52" s="11"/>
      <c r="P52" s="11"/>
      <c r="Q52" s="11"/>
      <c r="R52" s="11">
        <v>101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>
        <v>1058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>
        <v>815</v>
      </c>
      <c r="AN52" s="11">
        <v>156</v>
      </c>
      <c r="AO52" s="11"/>
      <c r="AP52" s="11">
        <v>87</v>
      </c>
      <c r="AQ52" s="11"/>
      <c r="AR52" s="11"/>
      <c r="AS52" s="11"/>
      <c r="AT52" s="11"/>
      <c r="AU52" s="20" t="str">
        <f>HYPERLINK("http://www.openstreetmap.org/?mlat=33.415&amp;mlon=43.7022&amp;zoom=12#map=12/33.415/43.7022","Maplink1")</f>
        <v>Maplink1</v>
      </c>
      <c r="AV52" s="20" t="str">
        <f>HYPERLINK("https://www.google.iq/maps/search/+33.415,43.7022/@33.415,43.7022,14z?hl=en","Maplink2")</f>
        <v>Maplink2</v>
      </c>
      <c r="AW52" s="20" t="str">
        <f>HYPERLINK("http://www.bing.com/maps/?lvl=14&amp;sty=h&amp;cp=33.415~43.7022&amp;sp=point.33.415_43.7022","Maplink3")</f>
        <v>Maplink3</v>
      </c>
    </row>
    <row r="53" spans="1:49" x14ac:dyDescent="0.25">
      <c r="A53" s="9">
        <v>21615</v>
      </c>
      <c r="B53" s="10" t="s">
        <v>8</v>
      </c>
      <c r="C53" s="10" t="s">
        <v>95</v>
      </c>
      <c r="D53" s="10" t="s">
        <v>1802</v>
      </c>
      <c r="E53" s="10" t="s">
        <v>147</v>
      </c>
      <c r="F53" s="10">
        <v>33.38852</v>
      </c>
      <c r="G53" s="10">
        <v>43.702010000000001</v>
      </c>
      <c r="H53" s="11">
        <v>1070</v>
      </c>
      <c r="I53" s="11">
        <v>6420</v>
      </c>
      <c r="J53" s="11">
        <v>722</v>
      </c>
      <c r="K53" s="11"/>
      <c r="L53" s="11">
        <v>205</v>
      </c>
      <c r="M53" s="11"/>
      <c r="N53" s="11"/>
      <c r="O53" s="11"/>
      <c r="P53" s="11">
        <v>143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>
        <v>1070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>
        <v>605</v>
      </c>
      <c r="AN53" s="11"/>
      <c r="AO53" s="11"/>
      <c r="AP53" s="11">
        <v>96</v>
      </c>
      <c r="AQ53" s="11">
        <v>252</v>
      </c>
      <c r="AR53" s="11">
        <v>117</v>
      </c>
      <c r="AS53" s="11"/>
      <c r="AT53" s="11"/>
      <c r="AU53" s="20" t="str">
        <f>HYPERLINK("http://www.openstreetmap.org/?mlat=33.3885&amp;mlon=43.702&amp;zoom=12#map=12/33.3885/43.702","Maplink1")</f>
        <v>Maplink1</v>
      </c>
      <c r="AV53" s="20" t="str">
        <f>HYPERLINK("https://www.google.iq/maps/search/+33.3885,43.702/@33.3885,43.702,14z?hl=en","Maplink2")</f>
        <v>Maplink2</v>
      </c>
      <c r="AW53" s="20" t="str">
        <f>HYPERLINK("http://www.bing.com/maps/?lvl=14&amp;sty=h&amp;cp=33.3885~43.702&amp;sp=point.33.3885_43.702","Maplink3")</f>
        <v>Maplink3</v>
      </c>
    </row>
    <row r="54" spans="1:49" x14ac:dyDescent="0.25">
      <c r="A54" s="9">
        <v>300</v>
      </c>
      <c r="B54" s="10" t="s">
        <v>8</v>
      </c>
      <c r="C54" s="10" t="s">
        <v>95</v>
      </c>
      <c r="D54" s="10" t="s">
        <v>161</v>
      </c>
      <c r="E54" s="10" t="s">
        <v>162</v>
      </c>
      <c r="F54" s="10">
        <v>33.410513000000002</v>
      </c>
      <c r="G54" s="10">
        <v>43.861687000000003</v>
      </c>
      <c r="H54" s="11">
        <v>1674</v>
      </c>
      <c r="I54" s="11">
        <v>10044</v>
      </c>
      <c r="J54" s="11">
        <v>955</v>
      </c>
      <c r="K54" s="11"/>
      <c r="L54" s="11">
        <v>496</v>
      </c>
      <c r="M54" s="11"/>
      <c r="N54" s="11"/>
      <c r="O54" s="11"/>
      <c r="P54" s="11">
        <v>125</v>
      </c>
      <c r="Q54" s="11"/>
      <c r="R54" s="11">
        <v>98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1674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>
        <v>174</v>
      </c>
      <c r="AN54" s="11">
        <v>223</v>
      </c>
      <c r="AO54" s="11"/>
      <c r="AP54" s="11">
        <v>496</v>
      </c>
      <c r="AQ54" s="11">
        <v>781</v>
      </c>
      <c r="AR54" s="11"/>
      <c r="AS54" s="11"/>
      <c r="AT54" s="11"/>
      <c r="AU54" s="20" t="str">
        <f>HYPERLINK("http://www.openstreetmap.org/?mlat=33.4105&amp;mlon=43.8617&amp;zoom=12#map=12/33.4105/43.8617","Maplink1")</f>
        <v>Maplink1</v>
      </c>
      <c r="AV54" s="20" t="str">
        <f>HYPERLINK("https://www.google.iq/maps/search/+33.4105,43.8617/@33.4105,43.8617,14z?hl=en","Maplink2")</f>
        <v>Maplink2</v>
      </c>
      <c r="AW54" s="20" t="str">
        <f>HYPERLINK("http://www.bing.com/maps/?lvl=14&amp;sty=h&amp;cp=33.4105~43.8617&amp;sp=point.33.4105_43.8617","Maplink3")</f>
        <v>Maplink3</v>
      </c>
    </row>
    <row r="55" spans="1:49" x14ac:dyDescent="0.25">
      <c r="A55" s="9">
        <v>126</v>
      </c>
      <c r="B55" s="10" t="s">
        <v>8</v>
      </c>
      <c r="C55" s="10" t="s">
        <v>95</v>
      </c>
      <c r="D55" s="10" t="s">
        <v>164</v>
      </c>
      <c r="E55" s="10" t="s">
        <v>165</v>
      </c>
      <c r="F55" s="10">
        <v>33.365659999999998</v>
      </c>
      <c r="G55" s="10">
        <v>43.771569999999997</v>
      </c>
      <c r="H55" s="11">
        <v>2112</v>
      </c>
      <c r="I55" s="11">
        <v>12672</v>
      </c>
      <c r="J55" s="11">
        <v>1251</v>
      </c>
      <c r="K55" s="11"/>
      <c r="L55" s="11">
        <v>265</v>
      </c>
      <c r="M55" s="11"/>
      <c r="N55" s="11"/>
      <c r="O55" s="11"/>
      <c r="P55" s="11">
        <v>290</v>
      </c>
      <c r="Q55" s="11"/>
      <c r="R55" s="11">
        <v>111</v>
      </c>
      <c r="S55" s="11"/>
      <c r="T55" s="11"/>
      <c r="U55" s="11"/>
      <c r="V55" s="11"/>
      <c r="W55" s="11"/>
      <c r="X55" s="11"/>
      <c r="Y55" s="11">
        <v>195</v>
      </c>
      <c r="Z55" s="11"/>
      <c r="AA55" s="11"/>
      <c r="AB55" s="11"/>
      <c r="AC55" s="11">
        <v>2112</v>
      </c>
      <c r="AD55" s="11"/>
      <c r="AE55" s="11"/>
      <c r="AF55" s="11"/>
      <c r="AG55" s="11"/>
      <c r="AH55" s="11"/>
      <c r="AI55" s="11"/>
      <c r="AJ55" s="11"/>
      <c r="AK55" s="11"/>
      <c r="AL55" s="11"/>
      <c r="AM55" s="11">
        <v>931</v>
      </c>
      <c r="AN55" s="11"/>
      <c r="AO55" s="11"/>
      <c r="AP55" s="11">
        <v>260</v>
      </c>
      <c r="AQ55" s="11">
        <v>812</v>
      </c>
      <c r="AR55" s="11">
        <v>109</v>
      </c>
      <c r="AS55" s="11"/>
      <c r="AT55" s="11"/>
      <c r="AU55" s="20" t="str">
        <f>HYPERLINK("http://www.openstreetmap.org/?mlat=33.3657&amp;mlon=43.7716&amp;zoom=12#map=12/33.3657/43.7716","Maplink1")</f>
        <v>Maplink1</v>
      </c>
      <c r="AV55" s="20" t="str">
        <f>HYPERLINK("https://www.google.iq/maps/search/+33.3657,43.7716/@33.3657,43.7716,14z?hl=en","Maplink2")</f>
        <v>Maplink2</v>
      </c>
      <c r="AW55" s="20" t="str">
        <f>HYPERLINK("http://www.bing.com/maps/?lvl=14&amp;sty=h&amp;cp=33.3657~43.7716&amp;sp=point.33.3657_43.7716","Maplink3")</f>
        <v>Maplink3</v>
      </c>
    </row>
    <row r="56" spans="1:49" x14ac:dyDescent="0.25">
      <c r="A56" s="9">
        <v>24106</v>
      </c>
      <c r="B56" s="10" t="s">
        <v>8</v>
      </c>
      <c r="C56" s="10" t="s">
        <v>95</v>
      </c>
      <c r="D56" s="10" t="s">
        <v>166</v>
      </c>
      <c r="E56" s="10" t="s">
        <v>1803</v>
      </c>
      <c r="F56" s="10">
        <v>33.406427999999998</v>
      </c>
      <c r="G56" s="10">
        <v>43.923875000000002</v>
      </c>
      <c r="H56" s="11">
        <v>1271</v>
      </c>
      <c r="I56" s="11">
        <v>7626</v>
      </c>
      <c r="J56" s="11">
        <v>507</v>
      </c>
      <c r="K56" s="11"/>
      <c r="L56" s="11">
        <v>502</v>
      </c>
      <c r="M56" s="11"/>
      <c r="N56" s="11"/>
      <c r="O56" s="11"/>
      <c r="P56" s="11">
        <v>45</v>
      </c>
      <c r="Q56" s="11"/>
      <c r="R56" s="11">
        <v>157</v>
      </c>
      <c r="S56" s="11"/>
      <c r="T56" s="11"/>
      <c r="U56" s="11"/>
      <c r="V56" s="11"/>
      <c r="W56" s="11"/>
      <c r="X56" s="11"/>
      <c r="Y56" s="11">
        <v>60</v>
      </c>
      <c r="Z56" s="11"/>
      <c r="AA56" s="11"/>
      <c r="AB56" s="11"/>
      <c r="AC56" s="11">
        <v>937</v>
      </c>
      <c r="AD56" s="11"/>
      <c r="AE56" s="11"/>
      <c r="AF56" s="11"/>
      <c r="AG56" s="11"/>
      <c r="AH56" s="11"/>
      <c r="AI56" s="11">
        <v>334</v>
      </c>
      <c r="AJ56" s="11"/>
      <c r="AK56" s="11"/>
      <c r="AL56" s="11"/>
      <c r="AM56" s="11">
        <v>446</v>
      </c>
      <c r="AN56" s="11">
        <v>98</v>
      </c>
      <c r="AO56" s="11"/>
      <c r="AP56" s="11">
        <v>192</v>
      </c>
      <c r="AQ56" s="11">
        <v>535</v>
      </c>
      <c r="AR56" s="11"/>
      <c r="AS56" s="11"/>
      <c r="AT56" s="11"/>
      <c r="AU56" s="20" t="str">
        <f>HYPERLINK("http://www.openstreetmap.org/?mlat=33.4064&amp;mlon=43.9239&amp;zoom=12#map=12/33.4064/43.9239","Maplink1")</f>
        <v>Maplink1</v>
      </c>
      <c r="AV56" s="20" t="str">
        <f>HYPERLINK("https://www.google.iq/maps/search/+33.4064,43.9239/@33.4064,43.9239,14z?hl=en","Maplink2")</f>
        <v>Maplink2</v>
      </c>
      <c r="AW56" s="20" t="str">
        <f>HYPERLINK("http://www.bing.com/maps/?lvl=14&amp;sty=h&amp;cp=33.4064~43.9239&amp;sp=point.33.4064_43.9239","Maplink3")</f>
        <v>Maplink3</v>
      </c>
    </row>
    <row r="57" spans="1:49" x14ac:dyDescent="0.25">
      <c r="A57" s="9">
        <v>22706</v>
      </c>
      <c r="B57" s="10" t="s">
        <v>8</v>
      </c>
      <c r="C57" s="10" t="s">
        <v>95</v>
      </c>
      <c r="D57" s="10" t="s">
        <v>1804</v>
      </c>
      <c r="E57" s="10" t="s">
        <v>163</v>
      </c>
      <c r="F57" s="10">
        <v>33.33719</v>
      </c>
      <c r="G57" s="10">
        <v>43.709780000000002</v>
      </c>
      <c r="H57" s="11">
        <v>2169</v>
      </c>
      <c r="I57" s="11">
        <v>13014</v>
      </c>
      <c r="J57" s="11">
        <v>1146</v>
      </c>
      <c r="K57" s="11"/>
      <c r="L57" s="11">
        <v>300</v>
      </c>
      <c r="M57" s="11"/>
      <c r="N57" s="11"/>
      <c r="O57" s="11"/>
      <c r="P57" s="11">
        <v>210</v>
      </c>
      <c r="Q57" s="11"/>
      <c r="R57" s="11">
        <v>300</v>
      </c>
      <c r="S57" s="11"/>
      <c r="T57" s="11"/>
      <c r="U57" s="11"/>
      <c r="V57" s="11"/>
      <c r="W57" s="11"/>
      <c r="X57" s="11"/>
      <c r="Y57" s="11">
        <v>213</v>
      </c>
      <c r="Z57" s="11"/>
      <c r="AA57" s="11"/>
      <c r="AB57" s="11"/>
      <c r="AC57" s="11">
        <v>2105</v>
      </c>
      <c r="AD57" s="11"/>
      <c r="AE57" s="11"/>
      <c r="AF57" s="11"/>
      <c r="AG57" s="11"/>
      <c r="AH57" s="11"/>
      <c r="AI57" s="11">
        <v>64</v>
      </c>
      <c r="AJ57" s="11"/>
      <c r="AK57" s="11"/>
      <c r="AL57" s="11"/>
      <c r="AM57" s="11">
        <v>1252</v>
      </c>
      <c r="AN57" s="11"/>
      <c r="AO57" s="11"/>
      <c r="AP57" s="11">
        <v>162</v>
      </c>
      <c r="AQ57" s="11">
        <v>614</v>
      </c>
      <c r="AR57" s="11">
        <v>141</v>
      </c>
      <c r="AS57" s="11"/>
      <c r="AT57" s="11"/>
      <c r="AU57" s="20" t="str">
        <f>HYPERLINK("http://www.openstreetmap.org/?mlat=33.3372&amp;mlon=43.7098&amp;zoom=12#map=12/33.3372/43.7098","Maplink1")</f>
        <v>Maplink1</v>
      </c>
      <c r="AV57" s="20" t="str">
        <f>HYPERLINK("https://www.google.iq/maps/search/+33.3372,43.7098/@33.3372,43.7098,14z?hl=en","Maplink2")</f>
        <v>Maplink2</v>
      </c>
      <c r="AW57" s="20" t="str">
        <f>HYPERLINK("http://www.bing.com/maps/?lvl=14&amp;sty=h&amp;cp=33.3372~43.7098&amp;sp=point.33.3372_43.7098","Maplink3")</f>
        <v>Maplink3</v>
      </c>
    </row>
    <row r="58" spans="1:49" x14ac:dyDescent="0.25">
      <c r="A58" s="9">
        <v>128</v>
      </c>
      <c r="B58" s="10" t="s">
        <v>8</v>
      </c>
      <c r="C58" s="10" t="s">
        <v>95</v>
      </c>
      <c r="D58" s="10" t="s">
        <v>167</v>
      </c>
      <c r="E58" s="10" t="s">
        <v>168</v>
      </c>
      <c r="F58" s="10">
        <v>33.361519999999999</v>
      </c>
      <c r="G58" s="10">
        <v>43.804450000000003</v>
      </c>
      <c r="H58" s="11">
        <v>3545</v>
      </c>
      <c r="I58" s="11">
        <v>21270</v>
      </c>
      <c r="J58" s="11">
        <v>1559</v>
      </c>
      <c r="K58" s="11"/>
      <c r="L58" s="11">
        <v>626</v>
      </c>
      <c r="M58" s="11"/>
      <c r="N58" s="11"/>
      <c r="O58" s="11"/>
      <c r="P58" s="11">
        <v>710</v>
      </c>
      <c r="Q58" s="11"/>
      <c r="R58" s="11">
        <v>328</v>
      </c>
      <c r="S58" s="11"/>
      <c r="T58" s="11"/>
      <c r="U58" s="11"/>
      <c r="V58" s="11"/>
      <c r="W58" s="11"/>
      <c r="X58" s="11"/>
      <c r="Y58" s="11">
        <v>322</v>
      </c>
      <c r="Z58" s="11"/>
      <c r="AA58" s="11"/>
      <c r="AB58" s="11"/>
      <c r="AC58" s="11">
        <v>3169</v>
      </c>
      <c r="AD58" s="11"/>
      <c r="AE58" s="11"/>
      <c r="AF58" s="11"/>
      <c r="AG58" s="11"/>
      <c r="AH58" s="11"/>
      <c r="AI58" s="11">
        <v>376</v>
      </c>
      <c r="AJ58" s="11"/>
      <c r="AK58" s="11"/>
      <c r="AL58" s="11"/>
      <c r="AM58" s="11">
        <v>1867</v>
      </c>
      <c r="AN58" s="11">
        <v>530</v>
      </c>
      <c r="AO58" s="11"/>
      <c r="AP58" s="11">
        <v>109</v>
      </c>
      <c r="AQ58" s="11">
        <v>798</v>
      </c>
      <c r="AR58" s="11">
        <v>241</v>
      </c>
      <c r="AS58" s="11"/>
      <c r="AT58" s="11"/>
      <c r="AU58" s="20" t="str">
        <f>HYPERLINK("http://www.openstreetmap.org/?mlat=33.3615&amp;mlon=43.8045&amp;zoom=12#map=12/33.3615/43.8045","Maplink1")</f>
        <v>Maplink1</v>
      </c>
      <c r="AV58" s="20" t="str">
        <f>HYPERLINK("https://www.google.iq/maps/search/+33.3615,43.8045/@33.3615,43.8045,14z?hl=en","Maplink2")</f>
        <v>Maplink2</v>
      </c>
      <c r="AW58" s="20" t="str">
        <f>HYPERLINK("http://www.bing.com/maps/?lvl=14&amp;sty=h&amp;cp=33.3615~43.8045&amp;sp=point.33.3615_43.8045","Maplink3")</f>
        <v>Maplink3</v>
      </c>
    </row>
    <row r="59" spans="1:49" x14ac:dyDescent="0.25">
      <c r="A59" s="9">
        <v>125</v>
      </c>
      <c r="B59" s="10" t="s">
        <v>8</v>
      </c>
      <c r="C59" s="10" t="s">
        <v>95</v>
      </c>
      <c r="D59" s="10" t="s">
        <v>169</v>
      </c>
      <c r="E59" s="10" t="s">
        <v>170</v>
      </c>
      <c r="F59" s="10">
        <v>33.357419999999998</v>
      </c>
      <c r="G59" s="10">
        <v>43.795020000000001</v>
      </c>
      <c r="H59" s="11">
        <v>3642</v>
      </c>
      <c r="I59" s="11">
        <v>21852</v>
      </c>
      <c r="J59" s="11">
        <v>1985</v>
      </c>
      <c r="K59" s="11"/>
      <c r="L59" s="11">
        <v>949</v>
      </c>
      <c r="M59" s="11"/>
      <c r="N59" s="11"/>
      <c r="O59" s="11"/>
      <c r="P59" s="11">
        <v>410</v>
      </c>
      <c r="Q59" s="11"/>
      <c r="R59" s="11">
        <v>98</v>
      </c>
      <c r="S59" s="11"/>
      <c r="T59" s="11"/>
      <c r="U59" s="11"/>
      <c r="V59" s="11"/>
      <c r="W59" s="11"/>
      <c r="X59" s="11"/>
      <c r="Y59" s="11">
        <v>200</v>
      </c>
      <c r="Z59" s="11"/>
      <c r="AA59" s="11"/>
      <c r="AB59" s="11"/>
      <c r="AC59" s="11">
        <v>3365</v>
      </c>
      <c r="AD59" s="11"/>
      <c r="AE59" s="11"/>
      <c r="AF59" s="11"/>
      <c r="AG59" s="11"/>
      <c r="AH59" s="11"/>
      <c r="AI59" s="11">
        <v>277</v>
      </c>
      <c r="AJ59" s="11"/>
      <c r="AK59" s="11"/>
      <c r="AL59" s="11"/>
      <c r="AM59" s="11">
        <v>1964</v>
      </c>
      <c r="AN59" s="11"/>
      <c r="AO59" s="11"/>
      <c r="AP59" s="11">
        <v>118</v>
      </c>
      <c r="AQ59" s="11">
        <v>889</v>
      </c>
      <c r="AR59" s="11">
        <v>671</v>
      </c>
      <c r="AS59" s="11"/>
      <c r="AT59" s="11"/>
      <c r="AU59" s="20" t="str">
        <f>HYPERLINK("http://www.openstreetmap.org/?mlat=33.3574&amp;mlon=43.795&amp;zoom=12#map=12/33.3574/43.795","Maplink1")</f>
        <v>Maplink1</v>
      </c>
      <c r="AV59" s="20" t="str">
        <f>HYPERLINK("https://www.google.iq/maps/search/+33.3574,43.795/@33.3574,43.795,14z?hl=en","Maplink2")</f>
        <v>Maplink2</v>
      </c>
      <c r="AW59" s="20" t="str">
        <f>HYPERLINK("http://www.bing.com/maps/?lvl=14&amp;sty=h&amp;cp=33.3574~43.795&amp;sp=point.33.3574_43.795","Maplink3")</f>
        <v>Maplink3</v>
      </c>
    </row>
    <row r="60" spans="1:49" x14ac:dyDescent="0.25">
      <c r="A60" s="9">
        <v>21809</v>
      </c>
      <c r="B60" s="10" t="s">
        <v>8</v>
      </c>
      <c r="C60" s="10" t="s">
        <v>95</v>
      </c>
      <c r="D60" s="10" t="s">
        <v>171</v>
      </c>
      <c r="E60" s="10" t="s">
        <v>172</v>
      </c>
      <c r="F60" s="10">
        <v>33.322510000000001</v>
      </c>
      <c r="G60" s="10">
        <v>43.793889999999998</v>
      </c>
      <c r="H60" s="11">
        <v>2828</v>
      </c>
      <c r="I60" s="11">
        <v>16968</v>
      </c>
      <c r="J60" s="11">
        <v>1169</v>
      </c>
      <c r="K60" s="11"/>
      <c r="L60" s="11">
        <v>997</v>
      </c>
      <c r="M60" s="11"/>
      <c r="N60" s="11"/>
      <c r="O60" s="11"/>
      <c r="P60" s="11">
        <v>278</v>
      </c>
      <c r="Q60" s="11"/>
      <c r="R60" s="11">
        <v>184</v>
      </c>
      <c r="S60" s="11"/>
      <c r="T60" s="11"/>
      <c r="U60" s="11"/>
      <c r="V60" s="11"/>
      <c r="W60" s="11"/>
      <c r="X60" s="11"/>
      <c r="Y60" s="11">
        <v>200</v>
      </c>
      <c r="Z60" s="11"/>
      <c r="AA60" s="11"/>
      <c r="AB60" s="11"/>
      <c r="AC60" s="11">
        <v>2751</v>
      </c>
      <c r="AD60" s="11"/>
      <c r="AE60" s="11"/>
      <c r="AF60" s="11"/>
      <c r="AG60" s="11"/>
      <c r="AH60" s="11"/>
      <c r="AI60" s="11">
        <v>77</v>
      </c>
      <c r="AJ60" s="11"/>
      <c r="AK60" s="11"/>
      <c r="AL60" s="11"/>
      <c r="AM60" s="11">
        <v>935</v>
      </c>
      <c r="AN60" s="11">
        <v>252</v>
      </c>
      <c r="AO60" s="11"/>
      <c r="AP60" s="11">
        <v>435</v>
      </c>
      <c r="AQ60" s="11">
        <v>127</v>
      </c>
      <c r="AR60" s="11">
        <v>1079</v>
      </c>
      <c r="AS60" s="11"/>
      <c r="AT60" s="11"/>
      <c r="AU60" s="20" t="str">
        <f>HYPERLINK("http://www.openstreetmap.org/?mlat=33.3225&amp;mlon=43.7939&amp;zoom=12#map=12/33.3225/43.7939","Maplink1")</f>
        <v>Maplink1</v>
      </c>
      <c r="AV60" s="20" t="str">
        <f>HYPERLINK("https://www.google.iq/maps/search/+33.3225,43.7939/@33.3225,43.7939,14z?hl=en","Maplink2")</f>
        <v>Maplink2</v>
      </c>
      <c r="AW60" s="20" t="str">
        <f>HYPERLINK("http://www.bing.com/maps/?lvl=14&amp;sty=h&amp;cp=33.3225~43.7939&amp;sp=point.33.3225_43.7939","Maplink3")</f>
        <v>Maplink3</v>
      </c>
    </row>
    <row r="61" spans="1:49" x14ac:dyDescent="0.25">
      <c r="A61" s="9">
        <v>175</v>
      </c>
      <c r="B61" s="10" t="s">
        <v>8</v>
      </c>
      <c r="C61" s="10" t="s">
        <v>95</v>
      </c>
      <c r="D61" s="10" t="s">
        <v>173</v>
      </c>
      <c r="E61" s="10" t="s">
        <v>174</v>
      </c>
      <c r="F61" s="10">
        <v>33.340919999999997</v>
      </c>
      <c r="G61" s="10">
        <v>43.767749999999999</v>
      </c>
      <c r="H61" s="11">
        <v>1915</v>
      </c>
      <c r="I61" s="11">
        <v>11490</v>
      </c>
      <c r="J61" s="11">
        <v>798</v>
      </c>
      <c r="K61" s="11"/>
      <c r="L61" s="11">
        <v>538</v>
      </c>
      <c r="M61" s="11"/>
      <c r="N61" s="11"/>
      <c r="O61" s="11"/>
      <c r="P61" s="11">
        <v>344</v>
      </c>
      <c r="Q61" s="11"/>
      <c r="R61" s="11">
        <v>135</v>
      </c>
      <c r="S61" s="11"/>
      <c r="T61" s="11"/>
      <c r="U61" s="11"/>
      <c r="V61" s="11"/>
      <c r="W61" s="11"/>
      <c r="X61" s="11"/>
      <c r="Y61" s="11">
        <v>100</v>
      </c>
      <c r="Z61" s="11"/>
      <c r="AA61" s="11"/>
      <c r="AB61" s="11"/>
      <c r="AC61" s="11">
        <v>1815</v>
      </c>
      <c r="AD61" s="11"/>
      <c r="AE61" s="11"/>
      <c r="AF61" s="11"/>
      <c r="AG61" s="11"/>
      <c r="AH61" s="11"/>
      <c r="AI61" s="11">
        <v>100</v>
      </c>
      <c r="AJ61" s="11"/>
      <c r="AK61" s="11"/>
      <c r="AL61" s="11"/>
      <c r="AM61" s="11">
        <v>1027</v>
      </c>
      <c r="AN61" s="11">
        <v>186</v>
      </c>
      <c r="AO61" s="11"/>
      <c r="AP61" s="11">
        <v>167</v>
      </c>
      <c r="AQ61" s="11">
        <v>322</v>
      </c>
      <c r="AR61" s="11">
        <v>213</v>
      </c>
      <c r="AS61" s="11"/>
      <c r="AT61" s="11"/>
      <c r="AU61" s="20" t="str">
        <f>HYPERLINK("http://www.openstreetmap.org/?mlat=33.3409&amp;mlon=43.7677&amp;zoom=12#map=12/33.3409/43.7677","Maplink1")</f>
        <v>Maplink1</v>
      </c>
      <c r="AV61" s="20" t="str">
        <f>HYPERLINK("https://www.google.iq/maps/search/+33.3409,43.7677/@33.3409,43.7677,14z?hl=en","Maplink2")</f>
        <v>Maplink2</v>
      </c>
      <c r="AW61" s="20" t="str">
        <f>HYPERLINK("http://www.bing.com/maps/?lvl=14&amp;sty=h&amp;cp=33.3409~43.7677&amp;sp=point.33.3409_43.7677","Maplink3")</f>
        <v>Maplink3</v>
      </c>
    </row>
    <row r="62" spans="1:49" x14ac:dyDescent="0.25">
      <c r="A62" s="9">
        <v>21559</v>
      </c>
      <c r="B62" s="10" t="s">
        <v>8</v>
      </c>
      <c r="C62" s="10" t="s">
        <v>95</v>
      </c>
      <c r="D62" s="10" t="s">
        <v>175</v>
      </c>
      <c r="E62" s="10" t="s">
        <v>176</v>
      </c>
      <c r="F62" s="10">
        <v>33.38355</v>
      </c>
      <c r="G62" s="10">
        <v>43.641219999999997</v>
      </c>
      <c r="H62" s="11">
        <v>631</v>
      </c>
      <c r="I62" s="11">
        <v>3786</v>
      </c>
      <c r="J62" s="11">
        <v>146</v>
      </c>
      <c r="K62" s="11"/>
      <c r="L62" s="11">
        <v>176</v>
      </c>
      <c r="M62" s="11"/>
      <c r="N62" s="11"/>
      <c r="O62" s="11"/>
      <c r="P62" s="11">
        <v>249</v>
      </c>
      <c r="Q62" s="11"/>
      <c r="R62" s="11">
        <v>60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>
        <v>631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>
        <v>195</v>
      </c>
      <c r="AN62" s="11">
        <v>125</v>
      </c>
      <c r="AO62" s="11"/>
      <c r="AP62" s="11">
        <v>251</v>
      </c>
      <c r="AQ62" s="11">
        <v>60</v>
      </c>
      <c r="AR62" s="11"/>
      <c r="AS62" s="11"/>
      <c r="AT62" s="11"/>
      <c r="AU62" s="20" t="str">
        <f>HYPERLINK("http://www.openstreetmap.org/?mlat=33.3836&amp;mlon=43.6412&amp;zoom=12#map=12/33.3836/43.6412","Maplink1")</f>
        <v>Maplink1</v>
      </c>
      <c r="AV62" s="20" t="str">
        <f>HYPERLINK("https://www.google.iq/maps/search/+33.3836,43.6412/@33.3836,43.6412,14z?hl=en","Maplink2")</f>
        <v>Maplink2</v>
      </c>
      <c r="AW62" s="20" t="str">
        <f>HYPERLINK("http://www.bing.com/maps/?lvl=14&amp;sty=h&amp;cp=33.3836~43.6412&amp;sp=point.33.3836_43.6412","Maplink3")</f>
        <v>Maplink3</v>
      </c>
    </row>
    <row r="63" spans="1:49" x14ac:dyDescent="0.25">
      <c r="A63" s="9">
        <v>31880</v>
      </c>
      <c r="B63" s="10" t="s">
        <v>8</v>
      </c>
      <c r="C63" s="10" t="s">
        <v>95</v>
      </c>
      <c r="D63" s="10" t="s">
        <v>177</v>
      </c>
      <c r="E63" s="10" t="s">
        <v>178</v>
      </c>
      <c r="F63" s="10">
        <v>33.405245999999998</v>
      </c>
      <c r="G63" s="10">
        <v>43.910063999999998</v>
      </c>
      <c r="H63" s="11">
        <v>355</v>
      </c>
      <c r="I63" s="11">
        <v>2130</v>
      </c>
      <c r="J63" s="11"/>
      <c r="K63" s="11"/>
      <c r="L63" s="11">
        <v>168</v>
      </c>
      <c r="M63" s="11"/>
      <c r="N63" s="11"/>
      <c r="O63" s="11"/>
      <c r="P63" s="11">
        <v>67</v>
      </c>
      <c r="Q63" s="11"/>
      <c r="R63" s="11">
        <v>120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>
        <v>355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>
        <v>168</v>
      </c>
      <c r="AN63" s="11"/>
      <c r="AO63" s="11"/>
      <c r="AP63" s="11">
        <v>187</v>
      </c>
      <c r="AQ63" s="11"/>
      <c r="AR63" s="11"/>
      <c r="AS63" s="11"/>
      <c r="AT63" s="11"/>
      <c r="AU63" s="20" t="str">
        <f>HYPERLINK("http://www.openstreetmap.org/?mlat=33.4052&amp;mlon=43.9101&amp;zoom=12#map=12/33.4052/43.9101","Maplink1")</f>
        <v>Maplink1</v>
      </c>
      <c r="AV63" s="20" t="str">
        <f>HYPERLINK("https://www.google.iq/maps/search/+33.4052,43.9101/@33.4052,43.9101,14z?hl=en","Maplink2")</f>
        <v>Maplink2</v>
      </c>
      <c r="AW63" s="20" t="str">
        <f>HYPERLINK("http://www.bing.com/maps/?lvl=14&amp;sty=h&amp;cp=33.4052~43.9101&amp;sp=point.33.4052_43.9101","Maplink3")</f>
        <v>Maplink3</v>
      </c>
    </row>
    <row r="64" spans="1:49" x14ac:dyDescent="0.25">
      <c r="A64" s="9">
        <v>47</v>
      </c>
      <c r="B64" s="10" t="s">
        <v>8</v>
      </c>
      <c r="C64" s="10" t="s">
        <v>95</v>
      </c>
      <c r="D64" s="10" t="s">
        <v>179</v>
      </c>
      <c r="E64" s="10" t="s">
        <v>180</v>
      </c>
      <c r="F64" s="10">
        <v>33.388420000000004</v>
      </c>
      <c r="G64" s="10">
        <v>43.974580000000003</v>
      </c>
      <c r="H64" s="11">
        <v>865</v>
      </c>
      <c r="I64" s="11">
        <v>5190</v>
      </c>
      <c r="J64" s="11">
        <v>211</v>
      </c>
      <c r="K64" s="11"/>
      <c r="L64" s="11">
        <v>259</v>
      </c>
      <c r="M64" s="11"/>
      <c r="N64" s="11"/>
      <c r="O64" s="11"/>
      <c r="P64" s="11">
        <v>85</v>
      </c>
      <c r="Q64" s="11"/>
      <c r="R64" s="11">
        <v>310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>
        <v>865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>
        <v>104</v>
      </c>
      <c r="AO64" s="11"/>
      <c r="AP64" s="11">
        <v>240</v>
      </c>
      <c r="AQ64" s="11">
        <v>521</v>
      </c>
      <c r="AR64" s="11"/>
      <c r="AS64" s="11"/>
      <c r="AT64" s="11"/>
      <c r="AU64" s="20" t="str">
        <f>HYPERLINK("http://www.openstreetmap.org/?mlat=33.3884&amp;mlon=43.9746&amp;zoom=12#map=12/33.3884/43.9746","Maplink1")</f>
        <v>Maplink1</v>
      </c>
      <c r="AV64" s="20" t="str">
        <f>HYPERLINK("https://www.google.iq/maps/search/+33.3884,43.9746/@33.3884,43.9746,14z?hl=en","Maplink2")</f>
        <v>Maplink2</v>
      </c>
      <c r="AW64" s="20" t="str">
        <f>HYPERLINK("http://www.bing.com/maps/?lvl=14&amp;sty=h&amp;cp=33.3884~43.9746&amp;sp=point.33.3884_43.9746","Maplink3")</f>
        <v>Maplink3</v>
      </c>
    </row>
    <row r="65" spans="1:49" x14ac:dyDescent="0.25">
      <c r="A65" s="9">
        <v>157</v>
      </c>
      <c r="B65" s="10" t="s">
        <v>8</v>
      </c>
      <c r="C65" s="10" t="s">
        <v>95</v>
      </c>
      <c r="D65" s="10" t="s">
        <v>181</v>
      </c>
      <c r="E65" s="10" t="s">
        <v>182</v>
      </c>
      <c r="F65" s="10">
        <v>33.363810000000001</v>
      </c>
      <c r="G65" s="10">
        <v>43.780279999999998</v>
      </c>
      <c r="H65" s="11">
        <v>2094</v>
      </c>
      <c r="I65" s="11">
        <v>12564</v>
      </c>
      <c r="J65" s="11">
        <v>850</v>
      </c>
      <c r="K65" s="11"/>
      <c r="L65" s="11">
        <v>494</v>
      </c>
      <c r="M65" s="11"/>
      <c r="N65" s="11"/>
      <c r="O65" s="11"/>
      <c r="P65" s="11">
        <v>400</v>
      </c>
      <c r="Q65" s="11"/>
      <c r="R65" s="11">
        <v>128</v>
      </c>
      <c r="S65" s="11"/>
      <c r="T65" s="11"/>
      <c r="U65" s="11"/>
      <c r="V65" s="11"/>
      <c r="W65" s="11"/>
      <c r="X65" s="11">
        <v>80</v>
      </c>
      <c r="Y65" s="11">
        <v>142</v>
      </c>
      <c r="Z65" s="11"/>
      <c r="AA65" s="11"/>
      <c r="AB65" s="11"/>
      <c r="AC65" s="11">
        <v>1874</v>
      </c>
      <c r="AD65" s="11"/>
      <c r="AE65" s="11"/>
      <c r="AF65" s="11"/>
      <c r="AG65" s="11"/>
      <c r="AH65" s="11"/>
      <c r="AI65" s="11">
        <v>220</v>
      </c>
      <c r="AJ65" s="11"/>
      <c r="AK65" s="11"/>
      <c r="AL65" s="11"/>
      <c r="AM65" s="11">
        <v>1214</v>
      </c>
      <c r="AN65" s="11"/>
      <c r="AO65" s="11"/>
      <c r="AP65" s="11">
        <v>180</v>
      </c>
      <c r="AQ65" s="11">
        <v>620</v>
      </c>
      <c r="AR65" s="11">
        <v>80</v>
      </c>
      <c r="AS65" s="11"/>
      <c r="AT65" s="11"/>
      <c r="AU65" s="20" t="str">
        <f>HYPERLINK("http://www.openstreetmap.org/?mlat=33.3638&amp;mlon=43.7803&amp;zoom=12#map=12/33.3638/43.7803","Maplink1")</f>
        <v>Maplink1</v>
      </c>
      <c r="AV65" s="20" t="str">
        <f>HYPERLINK("https://www.google.iq/maps/search/+33.3638,43.7803/@33.3638,43.7803,14z?hl=en","Maplink2")</f>
        <v>Maplink2</v>
      </c>
      <c r="AW65" s="20" t="str">
        <f>HYPERLINK("http://www.bing.com/maps/?lvl=14&amp;sty=h&amp;cp=33.3638~43.7803&amp;sp=point.33.3638_43.7803","Maplink3")</f>
        <v>Maplink3</v>
      </c>
    </row>
    <row r="66" spans="1:49" x14ac:dyDescent="0.25">
      <c r="A66" s="9">
        <v>31879</v>
      </c>
      <c r="B66" s="10" t="s">
        <v>8</v>
      </c>
      <c r="C66" s="10" t="s">
        <v>95</v>
      </c>
      <c r="D66" s="10" t="s">
        <v>183</v>
      </c>
      <c r="E66" s="10" t="s">
        <v>184</v>
      </c>
      <c r="F66" s="10">
        <v>33.370950000000001</v>
      </c>
      <c r="G66" s="10">
        <v>43.750309999999999</v>
      </c>
      <c r="H66" s="11">
        <v>885</v>
      </c>
      <c r="I66" s="11">
        <v>5310</v>
      </c>
      <c r="J66" s="11">
        <v>292</v>
      </c>
      <c r="K66" s="11"/>
      <c r="L66" s="11">
        <v>352</v>
      </c>
      <c r="M66" s="11"/>
      <c r="N66" s="11"/>
      <c r="O66" s="11"/>
      <c r="P66" s="11"/>
      <c r="Q66" s="11"/>
      <c r="R66" s="11">
        <v>241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>
        <v>885</v>
      </c>
      <c r="AD66" s="11"/>
      <c r="AE66" s="11"/>
      <c r="AF66" s="11"/>
      <c r="AG66" s="11"/>
      <c r="AH66" s="11"/>
      <c r="AI66" s="11"/>
      <c r="AJ66" s="11"/>
      <c r="AK66" s="11"/>
      <c r="AL66" s="11"/>
      <c r="AM66" s="11">
        <v>695</v>
      </c>
      <c r="AN66" s="11"/>
      <c r="AO66" s="11"/>
      <c r="AP66" s="11"/>
      <c r="AQ66" s="11"/>
      <c r="AR66" s="11">
        <v>190</v>
      </c>
      <c r="AS66" s="11"/>
      <c r="AT66" s="11"/>
      <c r="AU66" s="20" t="str">
        <f>HYPERLINK("http://www.openstreetmap.org/?mlat=33.371&amp;mlon=43.7503&amp;zoom=12#map=12/33.371/43.7503","Maplink1")</f>
        <v>Maplink1</v>
      </c>
      <c r="AV66" s="20" t="str">
        <f>HYPERLINK("https://www.google.iq/maps/search/+33.371,43.7503/@33.371,43.7503,14z?hl=en","Maplink2")</f>
        <v>Maplink2</v>
      </c>
      <c r="AW66" s="20" t="str">
        <f>HYPERLINK("http://www.bing.com/maps/?lvl=14&amp;sty=h&amp;cp=33.371~43.7503&amp;sp=point.33.371_43.7503","Maplink3")</f>
        <v>Maplink3</v>
      </c>
    </row>
    <row r="67" spans="1:49" x14ac:dyDescent="0.25">
      <c r="A67" s="9">
        <v>121</v>
      </c>
      <c r="B67" s="10" t="s">
        <v>8</v>
      </c>
      <c r="C67" s="10" t="s">
        <v>95</v>
      </c>
      <c r="D67" s="10" t="s">
        <v>185</v>
      </c>
      <c r="E67" s="10" t="s">
        <v>186</v>
      </c>
      <c r="F67" s="10">
        <v>33.345350000000003</v>
      </c>
      <c r="G67" s="10">
        <v>43.783430000000003</v>
      </c>
      <c r="H67" s="11">
        <v>2429</v>
      </c>
      <c r="I67" s="11">
        <v>14574</v>
      </c>
      <c r="J67" s="11">
        <v>1488</v>
      </c>
      <c r="K67" s="11"/>
      <c r="L67" s="11">
        <v>494</v>
      </c>
      <c r="M67" s="11"/>
      <c r="N67" s="11"/>
      <c r="O67" s="11"/>
      <c r="P67" s="11">
        <v>327</v>
      </c>
      <c r="Q67" s="11"/>
      <c r="R67" s="11">
        <v>120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2172</v>
      </c>
      <c r="AD67" s="11"/>
      <c r="AE67" s="11"/>
      <c r="AF67" s="11"/>
      <c r="AG67" s="11"/>
      <c r="AH67" s="11"/>
      <c r="AI67" s="11">
        <v>257</v>
      </c>
      <c r="AJ67" s="11"/>
      <c r="AK67" s="11"/>
      <c r="AL67" s="11"/>
      <c r="AM67" s="11">
        <v>1166</v>
      </c>
      <c r="AN67" s="11"/>
      <c r="AO67" s="11"/>
      <c r="AP67" s="11">
        <v>120</v>
      </c>
      <c r="AQ67" s="11">
        <v>706</v>
      </c>
      <c r="AR67" s="11">
        <v>437</v>
      </c>
      <c r="AS67" s="11"/>
      <c r="AT67" s="11"/>
      <c r="AU67" s="20" t="str">
        <f>HYPERLINK("http://www.openstreetmap.org/?mlat=33.3454&amp;mlon=43.7834&amp;zoom=12#map=12/33.3454/43.7834","Maplink1")</f>
        <v>Maplink1</v>
      </c>
      <c r="AV67" s="20" t="str">
        <f>HYPERLINK("https://www.google.iq/maps/search/+33.3454,43.7834/@33.3454,43.7834,14z?hl=en","Maplink2")</f>
        <v>Maplink2</v>
      </c>
      <c r="AW67" s="20" t="str">
        <f>HYPERLINK("http://www.bing.com/maps/?lvl=14&amp;sty=h&amp;cp=33.3454~43.7834&amp;sp=point.33.3454_43.7834","Maplink3")</f>
        <v>Maplink3</v>
      </c>
    </row>
    <row r="68" spans="1:49" x14ac:dyDescent="0.25">
      <c r="A68" s="9">
        <v>179</v>
      </c>
      <c r="B68" s="10" t="s">
        <v>8</v>
      </c>
      <c r="C68" s="10" t="s">
        <v>95</v>
      </c>
      <c r="D68" s="10" t="s">
        <v>1805</v>
      </c>
      <c r="E68" s="10" t="s">
        <v>111</v>
      </c>
      <c r="F68" s="10">
        <v>33.302100000000003</v>
      </c>
      <c r="G68" s="10">
        <v>43.806984999999997</v>
      </c>
      <c r="H68" s="11">
        <v>2056</v>
      </c>
      <c r="I68" s="11">
        <v>12336</v>
      </c>
      <c r="J68" s="11">
        <v>1295</v>
      </c>
      <c r="K68" s="11"/>
      <c r="L68" s="11">
        <v>423</v>
      </c>
      <c r="M68" s="11"/>
      <c r="N68" s="11"/>
      <c r="O68" s="11"/>
      <c r="P68" s="11">
        <v>168</v>
      </c>
      <c r="Q68" s="11"/>
      <c r="R68" s="11">
        <v>170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1986</v>
      </c>
      <c r="AD68" s="11"/>
      <c r="AE68" s="11"/>
      <c r="AF68" s="11"/>
      <c r="AG68" s="11"/>
      <c r="AH68" s="11"/>
      <c r="AI68" s="11">
        <v>70</v>
      </c>
      <c r="AJ68" s="11"/>
      <c r="AK68" s="11"/>
      <c r="AL68" s="11"/>
      <c r="AM68" s="11">
        <v>512</v>
      </c>
      <c r="AN68" s="11">
        <v>195</v>
      </c>
      <c r="AO68" s="11"/>
      <c r="AP68" s="11">
        <v>250</v>
      </c>
      <c r="AQ68" s="11">
        <v>461</v>
      </c>
      <c r="AR68" s="11">
        <v>638</v>
      </c>
      <c r="AS68" s="11"/>
      <c r="AT68" s="11"/>
      <c r="AU68" s="20" t="str">
        <f>HYPERLINK("http://www.openstreetmap.org/?mlat=33.3021&amp;mlon=43.807&amp;zoom=12#map=12/33.3021/43.807","Maplink1")</f>
        <v>Maplink1</v>
      </c>
      <c r="AV68" s="20" t="str">
        <f>HYPERLINK("https://www.google.iq/maps/search/+33.3021,43.807/@33.3021,43.807,14z?hl=en","Maplink2")</f>
        <v>Maplink2</v>
      </c>
      <c r="AW68" s="20" t="str">
        <f>HYPERLINK("http://www.bing.com/maps/?lvl=14&amp;sty=h&amp;cp=33.3021~43.807&amp;sp=point.33.3021_43.807","Maplink3")</f>
        <v>Maplink3</v>
      </c>
    </row>
    <row r="69" spans="1:49" x14ac:dyDescent="0.25">
      <c r="A69" s="9">
        <v>315</v>
      </c>
      <c r="B69" s="10" t="s">
        <v>8</v>
      </c>
      <c r="C69" s="10" t="s">
        <v>95</v>
      </c>
      <c r="D69" s="10" t="s">
        <v>1806</v>
      </c>
      <c r="E69" s="10" t="s">
        <v>151</v>
      </c>
      <c r="F69" s="10">
        <v>33.391424000000001</v>
      </c>
      <c r="G69" s="10">
        <v>43.832222999999999</v>
      </c>
      <c r="H69" s="11">
        <v>1748</v>
      </c>
      <c r="I69" s="11">
        <v>10488</v>
      </c>
      <c r="J69" s="11">
        <v>930</v>
      </c>
      <c r="K69" s="11"/>
      <c r="L69" s="11">
        <v>585</v>
      </c>
      <c r="M69" s="11"/>
      <c r="N69" s="11"/>
      <c r="O69" s="11"/>
      <c r="P69" s="11">
        <v>88</v>
      </c>
      <c r="Q69" s="11"/>
      <c r="R69" s="11">
        <v>145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1748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1">
        <v>593</v>
      </c>
      <c r="AN69" s="11">
        <v>268</v>
      </c>
      <c r="AO69" s="11"/>
      <c r="AP69" s="11">
        <v>217</v>
      </c>
      <c r="AQ69" s="11">
        <v>670</v>
      </c>
      <c r="AR69" s="11"/>
      <c r="AS69" s="11"/>
      <c r="AT69" s="11"/>
      <c r="AU69" s="20" t="str">
        <f>HYPERLINK("http://www.openstreetmap.org/?mlat=33.3914&amp;mlon=43.8322&amp;zoom=12#map=12/33.3914/43.8322","Maplink1")</f>
        <v>Maplink1</v>
      </c>
      <c r="AV69" s="20" t="str">
        <f>HYPERLINK("https://www.google.iq/maps/search/+33.3914,43.8322/@33.3914,43.8322,14z?hl=en","Maplink2")</f>
        <v>Maplink2</v>
      </c>
      <c r="AW69" s="20" t="str">
        <f>HYPERLINK("http://www.bing.com/maps/?lvl=14&amp;sty=h&amp;cp=33.3914~43.8322&amp;sp=point.33.3914_43.8322","Maplink3")</f>
        <v>Maplink3</v>
      </c>
    </row>
    <row r="70" spans="1:49" x14ac:dyDescent="0.25">
      <c r="A70" s="9">
        <v>146</v>
      </c>
      <c r="B70" s="10" t="s">
        <v>8</v>
      </c>
      <c r="C70" s="10" t="s">
        <v>95</v>
      </c>
      <c r="D70" s="10" t="s">
        <v>187</v>
      </c>
      <c r="E70" s="10" t="s">
        <v>188</v>
      </c>
      <c r="F70" s="10">
        <v>33.368560000000002</v>
      </c>
      <c r="G70" s="10">
        <v>43.958629999999999</v>
      </c>
      <c r="H70" s="11">
        <v>851</v>
      </c>
      <c r="I70" s="11">
        <v>5106</v>
      </c>
      <c r="J70" s="11">
        <v>112</v>
      </c>
      <c r="K70" s="11"/>
      <c r="L70" s="11">
        <v>445</v>
      </c>
      <c r="M70" s="11"/>
      <c r="N70" s="11"/>
      <c r="O70" s="11"/>
      <c r="P70" s="11">
        <v>294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>
        <v>851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>
        <v>100</v>
      </c>
      <c r="AN70" s="11">
        <v>192</v>
      </c>
      <c r="AO70" s="11"/>
      <c r="AP70" s="11">
        <v>150</v>
      </c>
      <c r="AQ70" s="11">
        <v>409</v>
      </c>
      <c r="AR70" s="11"/>
      <c r="AS70" s="11"/>
      <c r="AT70" s="11"/>
      <c r="AU70" s="20" t="str">
        <f>HYPERLINK("http://www.openstreetmap.org/?mlat=33.3686&amp;mlon=43.9586&amp;zoom=12#map=12/33.3686/43.9586","Maplink1")</f>
        <v>Maplink1</v>
      </c>
      <c r="AV70" s="20" t="str">
        <f>HYPERLINK("https://www.google.iq/maps/search/+33.3686,43.9586/@33.3686,43.9586,14z?hl=en","Maplink2")</f>
        <v>Maplink2</v>
      </c>
      <c r="AW70" s="20" t="str">
        <f>HYPERLINK("http://www.bing.com/maps/?lvl=14&amp;sty=h&amp;cp=33.3686~43.9586&amp;sp=point.33.3686_43.9586","Maplink3")</f>
        <v>Maplink3</v>
      </c>
    </row>
    <row r="71" spans="1:49" x14ac:dyDescent="0.25">
      <c r="A71" s="9">
        <v>24314</v>
      </c>
      <c r="B71" s="10" t="s">
        <v>8</v>
      </c>
      <c r="C71" s="10" t="s">
        <v>189</v>
      </c>
      <c r="D71" s="10" t="s">
        <v>190</v>
      </c>
      <c r="E71" s="10" t="s">
        <v>191</v>
      </c>
      <c r="F71" s="10">
        <v>34.084608000000003</v>
      </c>
      <c r="G71" s="10">
        <v>42.352733999999998</v>
      </c>
      <c r="H71" s="11">
        <v>494</v>
      </c>
      <c r="I71" s="11">
        <v>2964</v>
      </c>
      <c r="J71" s="11"/>
      <c r="K71" s="11"/>
      <c r="L71" s="11">
        <v>278</v>
      </c>
      <c r="M71" s="11"/>
      <c r="N71" s="11"/>
      <c r="O71" s="11"/>
      <c r="P71" s="11"/>
      <c r="Q71" s="11"/>
      <c r="R71" s="11">
        <v>163</v>
      </c>
      <c r="S71" s="11"/>
      <c r="T71" s="11"/>
      <c r="U71" s="11"/>
      <c r="V71" s="11"/>
      <c r="W71" s="11"/>
      <c r="X71" s="11">
        <v>53</v>
      </c>
      <c r="Y71" s="11"/>
      <c r="Z71" s="11"/>
      <c r="AA71" s="11"/>
      <c r="AB71" s="11"/>
      <c r="AC71" s="11">
        <v>494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>
        <v>59</v>
      </c>
      <c r="AN71" s="11">
        <v>98</v>
      </c>
      <c r="AO71" s="11"/>
      <c r="AP71" s="11">
        <v>118</v>
      </c>
      <c r="AQ71" s="11">
        <v>219</v>
      </c>
      <c r="AR71" s="11"/>
      <c r="AS71" s="11"/>
      <c r="AT71" s="11"/>
      <c r="AU71" s="20" t="str">
        <f>HYPERLINK("http://www.openstreetmap.org/?mlat=34.0846&amp;mlon=42.3527&amp;zoom=12#map=12/34.0846/42.3527","Maplink1")</f>
        <v>Maplink1</v>
      </c>
      <c r="AV71" s="20" t="str">
        <f>HYPERLINK("https://www.google.iq/maps/search/+34.0846,42.3527/@34.0846,42.3527,14z?hl=en","Maplink2")</f>
        <v>Maplink2</v>
      </c>
      <c r="AW71" s="20" t="str">
        <f>HYPERLINK("http://www.bing.com/maps/?lvl=14&amp;sty=h&amp;cp=34.0846~42.3527&amp;sp=point.34.0846_42.3527","Maplink3")</f>
        <v>Maplink3</v>
      </c>
    </row>
    <row r="72" spans="1:49" x14ac:dyDescent="0.25">
      <c r="A72" s="9">
        <v>23824</v>
      </c>
      <c r="B72" s="10" t="s">
        <v>8</v>
      </c>
      <c r="C72" s="10" t="s">
        <v>189</v>
      </c>
      <c r="D72" s="10" t="s">
        <v>192</v>
      </c>
      <c r="E72" s="10" t="s">
        <v>193</v>
      </c>
      <c r="F72" s="10">
        <v>34.080579999999998</v>
      </c>
      <c r="G72" s="10">
        <v>42.363410000000002</v>
      </c>
      <c r="H72" s="11">
        <v>617</v>
      </c>
      <c r="I72" s="11">
        <v>3702</v>
      </c>
      <c r="J72" s="11"/>
      <c r="K72" s="11"/>
      <c r="L72" s="11">
        <v>226</v>
      </c>
      <c r="M72" s="11"/>
      <c r="N72" s="11"/>
      <c r="O72" s="11"/>
      <c r="P72" s="11">
        <v>75</v>
      </c>
      <c r="Q72" s="11"/>
      <c r="R72" s="11">
        <v>316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>
        <v>617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>
        <v>301</v>
      </c>
      <c r="AO72" s="11"/>
      <c r="AP72" s="11">
        <v>256</v>
      </c>
      <c r="AQ72" s="11">
        <v>60</v>
      </c>
      <c r="AR72" s="11"/>
      <c r="AS72" s="11"/>
      <c r="AT72" s="11"/>
      <c r="AU72" s="20" t="str">
        <f>HYPERLINK("http://www.openstreetmap.org/?mlat=34.0806&amp;mlon=42.3634&amp;zoom=12#map=12/34.0806/42.3634","Maplink1")</f>
        <v>Maplink1</v>
      </c>
      <c r="AV72" s="20" t="str">
        <f>HYPERLINK("https://www.google.iq/maps/search/+34.0806,42.3634/@34.0806,42.3634,14z?hl=en","Maplink2")</f>
        <v>Maplink2</v>
      </c>
      <c r="AW72" s="20" t="str">
        <f>HYPERLINK("http://www.bing.com/maps/?lvl=14&amp;sty=h&amp;cp=34.0806~42.3634&amp;sp=point.34.0806_42.3634","Maplink3")</f>
        <v>Maplink3</v>
      </c>
    </row>
    <row r="73" spans="1:49" x14ac:dyDescent="0.25">
      <c r="A73" s="9">
        <v>23822</v>
      </c>
      <c r="B73" s="10" t="s">
        <v>8</v>
      </c>
      <c r="C73" s="10" t="s">
        <v>189</v>
      </c>
      <c r="D73" s="10" t="s">
        <v>1807</v>
      </c>
      <c r="E73" s="10" t="s">
        <v>194</v>
      </c>
      <c r="F73" s="10">
        <v>34.006810000000002</v>
      </c>
      <c r="G73" s="10">
        <v>42.423760000000001</v>
      </c>
      <c r="H73" s="11">
        <v>613</v>
      </c>
      <c r="I73" s="11">
        <v>3678</v>
      </c>
      <c r="J73" s="11">
        <v>96</v>
      </c>
      <c r="K73" s="11"/>
      <c r="L73" s="11">
        <v>299</v>
      </c>
      <c r="M73" s="11"/>
      <c r="N73" s="11"/>
      <c r="O73" s="11"/>
      <c r="P73" s="11">
        <v>42</v>
      </c>
      <c r="Q73" s="11"/>
      <c r="R73" s="11">
        <v>176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>
        <v>613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>
        <v>42</v>
      </c>
      <c r="AO73" s="11"/>
      <c r="AP73" s="11">
        <v>228</v>
      </c>
      <c r="AQ73" s="11">
        <v>343</v>
      </c>
      <c r="AR73" s="11"/>
      <c r="AS73" s="11"/>
      <c r="AT73" s="11"/>
      <c r="AU73" s="20" t="str">
        <f>HYPERLINK("http://www.openstreetmap.org/?mlat=34.0068&amp;mlon=42.4238&amp;zoom=12#map=12/34.0068/42.4238","Maplink1")</f>
        <v>Maplink1</v>
      </c>
      <c r="AV73" s="20" t="str">
        <f>HYPERLINK("https://www.google.iq/maps/search/+34.0068,42.4238/@34.0068,42.4238,14z?hl=en","Maplink2")</f>
        <v>Maplink2</v>
      </c>
      <c r="AW73" s="20" t="str">
        <f>HYPERLINK("http://www.bing.com/maps/?lvl=14&amp;sty=h&amp;cp=34.0068~42.4238&amp;sp=point.34.0068_42.4238","Maplink3")</f>
        <v>Maplink3</v>
      </c>
    </row>
    <row r="74" spans="1:49" x14ac:dyDescent="0.25">
      <c r="A74" s="9">
        <v>245</v>
      </c>
      <c r="B74" s="10" t="s">
        <v>8</v>
      </c>
      <c r="C74" s="10" t="s">
        <v>189</v>
      </c>
      <c r="D74" s="10" t="s">
        <v>195</v>
      </c>
      <c r="E74" s="10" t="s">
        <v>196</v>
      </c>
      <c r="F74" s="10">
        <v>34.108404</v>
      </c>
      <c r="G74" s="10">
        <v>42.379334999999998</v>
      </c>
      <c r="H74" s="11">
        <v>433</v>
      </c>
      <c r="I74" s="11">
        <v>2598</v>
      </c>
      <c r="J74" s="11"/>
      <c r="K74" s="11"/>
      <c r="L74" s="11">
        <v>133</v>
      </c>
      <c r="M74" s="11"/>
      <c r="N74" s="11"/>
      <c r="O74" s="11"/>
      <c r="P74" s="11">
        <v>80</v>
      </c>
      <c r="Q74" s="11"/>
      <c r="R74" s="11">
        <v>187</v>
      </c>
      <c r="S74" s="11"/>
      <c r="T74" s="11"/>
      <c r="U74" s="11"/>
      <c r="V74" s="11"/>
      <c r="W74" s="11"/>
      <c r="X74" s="11">
        <v>33</v>
      </c>
      <c r="Y74" s="11"/>
      <c r="Z74" s="11"/>
      <c r="AA74" s="11"/>
      <c r="AB74" s="11"/>
      <c r="AC74" s="11">
        <v>433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>
        <v>33</v>
      </c>
      <c r="AO74" s="11"/>
      <c r="AP74" s="11">
        <v>133</v>
      </c>
      <c r="AQ74" s="11">
        <v>267</v>
      </c>
      <c r="AR74" s="11"/>
      <c r="AS74" s="11"/>
      <c r="AT74" s="11"/>
      <c r="AU74" s="20" t="str">
        <f>HYPERLINK("http://www.openstreetmap.org/?mlat=34.1084&amp;mlon=42.3793&amp;zoom=12#map=12/34.1084/42.3793","Maplink1")</f>
        <v>Maplink1</v>
      </c>
      <c r="AV74" s="20" t="str">
        <f>HYPERLINK("https://www.google.iq/maps/search/+34.1084,42.3793/@34.1084,42.3793,14z?hl=en","Maplink2")</f>
        <v>Maplink2</v>
      </c>
      <c r="AW74" s="20" t="str">
        <f>HYPERLINK("http://www.bing.com/maps/?lvl=14&amp;sty=h&amp;cp=34.1084~42.3793&amp;sp=point.34.1084_42.3793","Maplink3")</f>
        <v>Maplink3</v>
      </c>
    </row>
    <row r="75" spans="1:49" x14ac:dyDescent="0.25">
      <c r="A75" s="9">
        <v>23823</v>
      </c>
      <c r="B75" s="10" t="s">
        <v>8</v>
      </c>
      <c r="C75" s="10" t="s">
        <v>189</v>
      </c>
      <c r="D75" s="10" t="s">
        <v>197</v>
      </c>
      <c r="E75" s="10" t="s">
        <v>198</v>
      </c>
      <c r="F75" s="10">
        <v>34.086067</v>
      </c>
      <c r="G75" s="10">
        <v>42.362758999999997</v>
      </c>
      <c r="H75" s="11">
        <v>577</v>
      </c>
      <c r="I75" s="11">
        <v>3462</v>
      </c>
      <c r="J75" s="11">
        <v>85</v>
      </c>
      <c r="K75" s="11"/>
      <c r="L75" s="11">
        <v>122</v>
      </c>
      <c r="M75" s="11"/>
      <c r="N75" s="11"/>
      <c r="O75" s="11"/>
      <c r="P75" s="11">
        <v>198</v>
      </c>
      <c r="Q75" s="11"/>
      <c r="R75" s="11">
        <v>72</v>
      </c>
      <c r="S75" s="11"/>
      <c r="T75" s="11"/>
      <c r="U75" s="11"/>
      <c r="V75" s="11"/>
      <c r="W75" s="11"/>
      <c r="X75" s="11">
        <v>100</v>
      </c>
      <c r="Y75" s="11"/>
      <c r="Z75" s="11"/>
      <c r="AA75" s="11"/>
      <c r="AB75" s="11"/>
      <c r="AC75" s="11">
        <v>577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149</v>
      </c>
      <c r="AO75" s="11"/>
      <c r="AP75" s="11">
        <v>328</v>
      </c>
      <c r="AQ75" s="11">
        <v>100</v>
      </c>
      <c r="AR75" s="11"/>
      <c r="AS75" s="11"/>
      <c r="AT75" s="11"/>
      <c r="AU75" s="20" t="str">
        <f>HYPERLINK("http://www.openstreetmap.org/?mlat=34.0861&amp;mlon=42.3628&amp;zoom=12#map=12/34.0861/42.3628","Maplink1")</f>
        <v>Maplink1</v>
      </c>
      <c r="AV75" s="20" t="str">
        <f>HYPERLINK("https://www.google.iq/maps/search/+34.0861,42.3628/@34.0861,42.3628,14z?hl=en","Maplink2")</f>
        <v>Maplink2</v>
      </c>
      <c r="AW75" s="20" t="str">
        <f>HYPERLINK("http://www.bing.com/maps/?lvl=14&amp;sty=h&amp;cp=34.0861~42.3628&amp;sp=point.34.0861_42.3628","Maplink3")</f>
        <v>Maplink3</v>
      </c>
    </row>
    <row r="76" spans="1:49" x14ac:dyDescent="0.25">
      <c r="A76" s="9">
        <v>237</v>
      </c>
      <c r="B76" s="10" t="s">
        <v>8</v>
      </c>
      <c r="C76" s="10" t="s">
        <v>189</v>
      </c>
      <c r="D76" s="10" t="s">
        <v>89</v>
      </c>
      <c r="E76" s="10" t="s">
        <v>90</v>
      </c>
      <c r="F76" s="10">
        <v>34.129339000000002</v>
      </c>
      <c r="G76" s="10">
        <v>42.373987</v>
      </c>
      <c r="H76" s="11">
        <v>451</v>
      </c>
      <c r="I76" s="11">
        <v>2706</v>
      </c>
      <c r="J76" s="11"/>
      <c r="K76" s="11"/>
      <c r="L76" s="11">
        <v>109</v>
      </c>
      <c r="M76" s="11"/>
      <c r="N76" s="11"/>
      <c r="O76" s="11"/>
      <c r="P76" s="11"/>
      <c r="Q76" s="11"/>
      <c r="R76" s="11">
        <v>100</v>
      </c>
      <c r="S76" s="11"/>
      <c r="T76" s="11"/>
      <c r="U76" s="11"/>
      <c r="V76" s="11"/>
      <c r="W76" s="11"/>
      <c r="X76" s="11">
        <v>75</v>
      </c>
      <c r="Y76" s="11">
        <v>167</v>
      </c>
      <c r="Z76" s="11"/>
      <c r="AA76" s="11"/>
      <c r="AB76" s="11"/>
      <c r="AC76" s="11">
        <v>451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>
        <v>75</v>
      </c>
      <c r="AO76" s="11"/>
      <c r="AP76" s="11">
        <v>276</v>
      </c>
      <c r="AQ76" s="11">
        <v>100</v>
      </c>
      <c r="AR76" s="11"/>
      <c r="AS76" s="11"/>
      <c r="AT76" s="11"/>
      <c r="AU76" s="20" t="str">
        <f>HYPERLINK("http://www.openstreetmap.org/?mlat=34.1293&amp;mlon=42.374&amp;zoom=12#map=12/34.1293/42.374","Maplink1")</f>
        <v>Maplink1</v>
      </c>
      <c r="AV76" s="20" t="str">
        <f>HYPERLINK("https://www.google.iq/maps/search/+34.1293,42.374/@34.1293,42.374,14z?hl=en","Maplink2")</f>
        <v>Maplink2</v>
      </c>
      <c r="AW76" s="20" t="str">
        <f>HYPERLINK("http://www.bing.com/maps/?lvl=14&amp;sty=h&amp;cp=34.1293~42.374&amp;sp=point.34.1293_42.374","Maplink3")</f>
        <v>Maplink3</v>
      </c>
    </row>
    <row r="77" spans="1:49" x14ac:dyDescent="0.25">
      <c r="A77" s="9">
        <v>23819</v>
      </c>
      <c r="B77" s="10" t="s">
        <v>8</v>
      </c>
      <c r="C77" s="10" t="s">
        <v>189</v>
      </c>
      <c r="D77" s="10" t="s">
        <v>199</v>
      </c>
      <c r="E77" s="10" t="s">
        <v>200</v>
      </c>
      <c r="F77" s="10">
        <v>34.086398000000003</v>
      </c>
      <c r="G77" s="10">
        <v>42.369182000000002</v>
      </c>
      <c r="H77" s="11">
        <v>368</v>
      </c>
      <c r="I77" s="11">
        <v>2208</v>
      </c>
      <c r="J77" s="11"/>
      <c r="K77" s="11"/>
      <c r="L77" s="11">
        <v>179</v>
      </c>
      <c r="M77" s="11"/>
      <c r="N77" s="11"/>
      <c r="O77" s="11"/>
      <c r="P77" s="11">
        <v>24</v>
      </c>
      <c r="Q77" s="11"/>
      <c r="R77" s="11">
        <v>165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>
        <v>368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>
        <v>185</v>
      </c>
      <c r="AO77" s="11"/>
      <c r="AP77" s="11">
        <v>183</v>
      </c>
      <c r="AQ77" s="11"/>
      <c r="AR77" s="11"/>
      <c r="AS77" s="11"/>
      <c r="AT77" s="11"/>
      <c r="AU77" s="20" t="str">
        <f>HYPERLINK("http://www.openstreetmap.org/?mlat=34.0864&amp;mlon=42.3692&amp;zoom=12#map=12/34.0864/42.3692","Maplink1")</f>
        <v>Maplink1</v>
      </c>
      <c r="AV77" s="20" t="str">
        <f>HYPERLINK("https://www.google.iq/maps/search/+34.0864,42.3692/@34.0864,42.3692,14z?hl=en","Maplink2")</f>
        <v>Maplink2</v>
      </c>
      <c r="AW77" s="20" t="str">
        <f>HYPERLINK("http://www.bing.com/maps/?lvl=14&amp;sty=h&amp;cp=34.0864~42.3692&amp;sp=point.34.0864_42.3692","Maplink3")</f>
        <v>Maplink3</v>
      </c>
    </row>
    <row r="78" spans="1:49" x14ac:dyDescent="0.25">
      <c r="A78" s="9">
        <v>239</v>
      </c>
      <c r="B78" s="10" t="s">
        <v>8</v>
      </c>
      <c r="C78" s="10" t="s">
        <v>189</v>
      </c>
      <c r="D78" s="10" t="s">
        <v>201</v>
      </c>
      <c r="E78" s="10" t="s">
        <v>202</v>
      </c>
      <c r="F78" s="10">
        <v>34.140894000000003</v>
      </c>
      <c r="G78" s="10">
        <v>42.379010000000001</v>
      </c>
      <c r="H78" s="11">
        <v>247</v>
      </c>
      <c r="I78" s="11">
        <v>1482</v>
      </c>
      <c r="J78" s="11"/>
      <c r="K78" s="11"/>
      <c r="L78" s="11">
        <v>79</v>
      </c>
      <c r="M78" s="11"/>
      <c r="N78" s="11"/>
      <c r="O78" s="11"/>
      <c r="P78" s="11">
        <v>119</v>
      </c>
      <c r="Q78" s="11"/>
      <c r="R78" s="11"/>
      <c r="S78" s="11"/>
      <c r="T78" s="11"/>
      <c r="U78" s="11"/>
      <c r="V78" s="11"/>
      <c r="W78" s="11"/>
      <c r="X78" s="11"/>
      <c r="Y78" s="11">
        <v>49</v>
      </c>
      <c r="Z78" s="11"/>
      <c r="AA78" s="11"/>
      <c r="AB78" s="11"/>
      <c r="AC78" s="11">
        <v>247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>
        <v>119</v>
      </c>
      <c r="AO78" s="11"/>
      <c r="AP78" s="11">
        <v>128</v>
      </c>
      <c r="AQ78" s="11"/>
      <c r="AR78" s="11"/>
      <c r="AS78" s="11"/>
      <c r="AT78" s="11"/>
      <c r="AU78" s="20" t="str">
        <f>HYPERLINK("http://www.openstreetmap.org/?mlat=34.1409&amp;mlon=42.379&amp;zoom=12#map=12/34.1409/42.379","Maplink1")</f>
        <v>Maplink1</v>
      </c>
      <c r="AV78" s="20" t="str">
        <f>HYPERLINK("https://www.google.iq/maps/search/+34.1409,42.379/@34.1409,42.379,14z?hl=en","Maplink2")</f>
        <v>Maplink2</v>
      </c>
      <c r="AW78" s="20" t="str">
        <f>HYPERLINK("http://www.bing.com/maps/?lvl=14&amp;sty=h&amp;cp=34.1409~42.379&amp;sp=point.34.1409_42.379","Maplink3")</f>
        <v>Maplink3</v>
      </c>
    </row>
    <row r="79" spans="1:49" x14ac:dyDescent="0.25">
      <c r="A79" s="9">
        <v>23805</v>
      </c>
      <c r="B79" s="10" t="s">
        <v>8</v>
      </c>
      <c r="C79" s="10" t="s">
        <v>189</v>
      </c>
      <c r="D79" s="10" t="s">
        <v>204</v>
      </c>
      <c r="E79" s="10" t="s">
        <v>205</v>
      </c>
      <c r="F79" s="10">
        <v>34.166518000000003</v>
      </c>
      <c r="G79" s="10">
        <v>42.376403000000003</v>
      </c>
      <c r="H79" s="11">
        <v>312</v>
      </c>
      <c r="I79" s="11">
        <v>1872</v>
      </c>
      <c r="J79" s="11"/>
      <c r="K79" s="11"/>
      <c r="L79" s="11">
        <v>165</v>
      </c>
      <c r="M79" s="11"/>
      <c r="N79" s="11"/>
      <c r="O79" s="11"/>
      <c r="P79" s="11">
        <v>79</v>
      </c>
      <c r="Q79" s="11"/>
      <c r="R79" s="11">
        <v>68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>
        <v>312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>
        <v>165</v>
      </c>
      <c r="AO79" s="11"/>
      <c r="AP79" s="11">
        <v>79</v>
      </c>
      <c r="AQ79" s="11">
        <v>68</v>
      </c>
      <c r="AR79" s="11"/>
      <c r="AS79" s="11"/>
      <c r="AT79" s="11"/>
      <c r="AU79" s="20" t="str">
        <f>HYPERLINK("http://www.openstreetmap.org/?mlat=34.1665&amp;mlon=42.3764&amp;zoom=12#map=12/34.1665/42.3764","Maplink1")</f>
        <v>Maplink1</v>
      </c>
      <c r="AV79" s="20" t="str">
        <f>HYPERLINK("https://www.google.iq/maps/search/+34.1665,42.3764/@34.1665,42.3764,14z?hl=en","Maplink2")</f>
        <v>Maplink2</v>
      </c>
      <c r="AW79" s="20" t="str">
        <f>HYPERLINK("http://www.bing.com/maps/?lvl=14&amp;sty=h&amp;cp=34.1665~42.3764&amp;sp=point.34.1665_42.3764","Maplink3")</f>
        <v>Maplink3</v>
      </c>
    </row>
    <row r="80" spans="1:49" x14ac:dyDescent="0.25">
      <c r="A80" s="9">
        <v>79</v>
      </c>
      <c r="B80" s="10" t="s">
        <v>8</v>
      </c>
      <c r="C80" s="10" t="s">
        <v>189</v>
      </c>
      <c r="D80" s="10" t="s">
        <v>1808</v>
      </c>
      <c r="E80" s="10" t="s">
        <v>203</v>
      </c>
      <c r="F80" s="10">
        <v>34.120063999999999</v>
      </c>
      <c r="G80" s="10">
        <v>42.381936000000003</v>
      </c>
      <c r="H80" s="11">
        <v>131</v>
      </c>
      <c r="I80" s="11">
        <v>786</v>
      </c>
      <c r="J80" s="11"/>
      <c r="K80" s="11"/>
      <c r="L80" s="11"/>
      <c r="M80" s="11"/>
      <c r="N80" s="11"/>
      <c r="O80" s="11"/>
      <c r="P80" s="11">
        <v>32</v>
      </c>
      <c r="Q80" s="11"/>
      <c r="R80" s="11">
        <v>99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>
        <v>131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>
        <v>32</v>
      </c>
      <c r="AO80" s="11"/>
      <c r="AP80" s="11">
        <v>99</v>
      </c>
      <c r="AQ80" s="11"/>
      <c r="AR80" s="11"/>
      <c r="AS80" s="11"/>
      <c r="AT80" s="11"/>
      <c r="AU80" s="20" t="str">
        <f>HYPERLINK("http://www.openstreetmap.org/?mlat=34.1201&amp;mlon=42.3819&amp;zoom=12#map=12/34.1201/42.3819","Maplink1")</f>
        <v>Maplink1</v>
      </c>
      <c r="AV80" s="20" t="str">
        <f>HYPERLINK("https://www.google.iq/maps/search/+34.1201,42.3819/@34.1201,42.3819,14z?hl=en","Maplink2")</f>
        <v>Maplink2</v>
      </c>
      <c r="AW80" s="20" t="str">
        <f>HYPERLINK("http://www.bing.com/maps/?lvl=14&amp;sty=h&amp;cp=34.1201~42.3819&amp;sp=point.34.1201_42.3819","Maplink3")</f>
        <v>Maplink3</v>
      </c>
    </row>
    <row r="81" spans="1:49" x14ac:dyDescent="0.25">
      <c r="A81" s="9">
        <v>23820</v>
      </c>
      <c r="B81" s="10" t="s">
        <v>8</v>
      </c>
      <c r="C81" s="10" t="s">
        <v>189</v>
      </c>
      <c r="D81" s="10" t="s">
        <v>1809</v>
      </c>
      <c r="E81" s="10" t="s">
        <v>206</v>
      </c>
      <c r="F81" s="10">
        <v>34.072929999999999</v>
      </c>
      <c r="G81" s="10">
        <v>42.365861000000002</v>
      </c>
      <c r="H81" s="11">
        <v>312</v>
      </c>
      <c r="I81" s="11">
        <v>1872</v>
      </c>
      <c r="J81" s="11"/>
      <c r="K81" s="11"/>
      <c r="L81" s="11">
        <v>150</v>
      </c>
      <c r="M81" s="11"/>
      <c r="N81" s="11"/>
      <c r="O81" s="11"/>
      <c r="P81" s="11">
        <v>114</v>
      </c>
      <c r="Q81" s="11"/>
      <c r="R81" s="11">
        <v>48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>
        <v>312</v>
      </c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>
        <v>48</v>
      </c>
      <c r="AO81" s="11"/>
      <c r="AP81" s="11">
        <v>177</v>
      </c>
      <c r="AQ81" s="11">
        <v>87</v>
      </c>
      <c r="AR81" s="11"/>
      <c r="AS81" s="11"/>
      <c r="AT81" s="11"/>
      <c r="AU81" s="20" t="str">
        <f>HYPERLINK("http://www.openstreetmap.org/?mlat=34.0729&amp;mlon=42.3659&amp;zoom=12#map=12/34.0729/42.3659","Maplink1")</f>
        <v>Maplink1</v>
      </c>
      <c r="AV81" s="20" t="str">
        <f>HYPERLINK("https://www.google.iq/maps/search/+34.0729,42.3659/@34.0729,42.3659,14z?hl=en","Maplink2")</f>
        <v>Maplink2</v>
      </c>
      <c r="AW81" s="20" t="str">
        <f>HYPERLINK("http://www.bing.com/maps/?lvl=14&amp;sty=h&amp;cp=34.0729~42.3659&amp;sp=point.34.0729_42.3659","Maplink3")</f>
        <v>Maplink3</v>
      </c>
    </row>
    <row r="82" spans="1:49" x14ac:dyDescent="0.25">
      <c r="A82" s="9">
        <v>100</v>
      </c>
      <c r="B82" s="10" t="s">
        <v>8</v>
      </c>
      <c r="C82" s="10" t="s">
        <v>207</v>
      </c>
      <c r="D82" s="10" t="s">
        <v>208</v>
      </c>
      <c r="E82" s="10" t="s">
        <v>209</v>
      </c>
      <c r="F82" s="10">
        <v>33.639360000000003</v>
      </c>
      <c r="G82" s="10">
        <v>42.812829999999998</v>
      </c>
      <c r="H82" s="11">
        <v>1168</v>
      </c>
      <c r="I82" s="11">
        <v>7008</v>
      </c>
      <c r="J82" s="11">
        <v>748</v>
      </c>
      <c r="K82" s="11"/>
      <c r="L82" s="11">
        <v>148</v>
      </c>
      <c r="M82" s="11"/>
      <c r="N82" s="11"/>
      <c r="O82" s="11"/>
      <c r="P82" s="11"/>
      <c r="Q82" s="11"/>
      <c r="R82" s="11">
        <v>148</v>
      </c>
      <c r="S82" s="11"/>
      <c r="T82" s="11"/>
      <c r="U82" s="11"/>
      <c r="V82" s="11"/>
      <c r="W82" s="11"/>
      <c r="X82" s="11"/>
      <c r="Y82" s="11">
        <v>124</v>
      </c>
      <c r="Z82" s="11"/>
      <c r="AA82" s="11"/>
      <c r="AB82" s="11"/>
      <c r="AC82" s="11">
        <v>1168</v>
      </c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>
        <v>616</v>
      </c>
      <c r="AO82" s="11"/>
      <c r="AP82" s="11">
        <v>323</v>
      </c>
      <c r="AQ82" s="11">
        <v>124</v>
      </c>
      <c r="AR82" s="11">
        <v>105</v>
      </c>
      <c r="AS82" s="11"/>
      <c r="AT82" s="11"/>
      <c r="AU82" s="20" t="str">
        <f>HYPERLINK("http://www.openstreetmap.org/?mlat=33.6394&amp;mlon=42.8128&amp;zoom=12#map=12/33.6394/42.8128","Maplink1")</f>
        <v>Maplink1</v>
      </c>
      <c r="AV82" s="20" t="str">
        <f>HYPERLINK("https://www.google.iq/maps/search/+33.6394,42.8128/@33.6394,42.8128,14z?hl=en","Maplink2")</f>
        <v>Maplink2</v>
      </c>
      <c r="AW82" s="20" t="str">
        <f>HYPERLINK("http://www.bing.com/maps/?lvl=14&amp;sty=h&amp;cp=33.6394~42.8128&amp;sp=point.33.6394_42.8128","Maplink3")</f>
        <v>Maplink3</v>
      </c>
    </row>
    <row r="83" spans="1:49" x14ac:dyDescent="0.25">
      <c r="A83" s="9">
        <v>163</v>
      </c>
      <c r="B83" s="10" t="s">
        <v>8</v>
      </c>
      <c r="C83" s="10" t="s">
        <v>207</v>
      </c>
      <c r="D83" s="10" t="s">
        <v>210</v>
      </c>
      <c r="E83" s="10" t="s">
        <v>211</v>
      </c>
      <c r="F83" s="10">
        <v>33.649721</v>
      </c>
      <c r="G83" s="10">
        <v>42.829619000000001</v>
      </c>
      <c r="H83" s="11">
        <v>908</v>
      </c>
      <c r="I83" s="11">
        <v>5448</v>
      </c>
      <c r="J83" s="11">
        <v>160</v>
      </c>
      <c r="K83" s="11"/>
      <c r="L83" s="11">
        <v>440</v>
      </c>
      <c r="M83" s="11"/>
      <c r="N83" s="11"/>
      <c r="O83" s="11"/>
      <c r="P83" s="11">
        <v>85</v>
      </c>
      <c r="Q83" s="11"/>
      <c r="R83" s="11">
        <v>178</v>
      </c>
      <c r="S83" s="11"/>
      <c r="T83" s="11"/>
      <c r="U83" s="11"/>
      <c r="V83" s="11"/>
      <c r="W83" s="11"/>
      <c r="X83" s="11"/>
      <c r="Y83" s="11">
        <v>45</v>
      </c>
      <c r="Z83" s="11"/>
      <c r="AA83" s="11"/>
      <c r="AB83" s="11"/>
      <c r="AC83" s="11">
        <v>908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>
        <v>85</v>
      </c>
      <c r="AO83" s="11"/>
      <c r="AP83" s="11">
        <v>600</v>
      </c>
      <c r="AQ83" s="11">
        <v>223</v>
      </c>
      <c r="AR83" s="11"/>
      <c r="AS83" s="11"/>
      <c r="AT83" s="11"/>
      <c r="AU83" s="20" t="str">
        <f>HYPERLINK("http://www.openstreetmap.org/?mlat=33.6497&amp;mlon=42.8296&amp;zoom=12#map=12/33.6497/42.8296","Maplink1")</f>
        <v>Maplink1</v>
      </c>
      <c r="AV83" s="20" t="str">
        <f>HYPERLINK("https://www.google.iq/maps/search/+33.6497,42.8296/@33.6497,42.8296,14z?hl=en","Maplink2")</f>
        <v>Maplink2</v>
      </c>
      <c r="AW83" s="20" t="str">
        <f>HYPERLINK("http://www.bing.com/maps/?lvl=14&amp;sty=h&amp;cp=33.6497~42.8296&amp;sp=point.33.6497_42.8296","Maplink3")</f>
        <v>Maplink3</v>
      </c>
    </row>
    <row r="84" spans="1:49" x14ac:dyDescent="0.25">
      <c r="A84" s="9">
        <v>152</v>
      </c>
      <c r="B84" s="10" t="s">
        <v>8</v>
      </c>
      <c r="C84" s="10" t="s">
        <v>207</v>
      </c>
      <c r="D84" s="10" t="s">
        <v>213</v>
      </c>
      <c r="E84" s="10" t="s">
        <v>214</v>
      </c>
      <c r="F84" s="10">
        <v>33.553959999999996</v>
      </c>
      <c r="G84" s="10">
        <v>42.901949999999999</v>
      </c>
      <c r="H84" s="11">
        <v>631</v>
      </c>
      <c r="I84" s="11">
        <v>3786</v>
      </c>
      <c r="J84" s="11">
        <v>89</v>
      </c>
      <c r="K84" s="11"/>
      <c r="L84" s="11">
        <v>143</v>
      </c>
      <c r="M84" s="11"/>
      <c r="N84" s="11"/>
      <c r="O84" s="11"/>
      <c r="P84" s="11">
        <v>100</v>
      </c>
      <c r="Q84" s="11"/>
      <c r="R84" s="11">
        <v>127</v>
      </c>
      <c r="S84" s="11"/>
      <c r="T84" s="11"/>
      <c r="U84" s="11"/>
      <c r="V84" s="11"/>
      <c r="W84" s="11"/>
      <c r="X84" s="11"/>
      <c r="Y84" s="11">
        <v>172</v>
      </c>
      <c r="Z84" s="11"/>
      <c r="AA84" s="11"/>
      <c r="AB84" s="11"/>
      <c r="AC84" s="11">
        <v>631</v>
      </c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>
        <v>415</v>
      </c>
      <c r="AQ84" s="11">
        <v>216</v>
      </c>
      <c r="AR84" s="11"/>
      <c r="AS84" s="11"/>
      <c r="AT84" s="11"/>
      <c r="AU84" s="20" t="str">
        <f>HYPERLINK("http://www.openstreetmap.org/?mlat=33.554&amp;mlon=42.9019&amp;zoom=12#map=12/33.554/42.9019","Maplink1")</f>
        <v>Maplink1</v>
      </c>
      <c r="AV84" s="20" t="str">
        <f>HYPERLINK("https://www.google.iq/maps/search/+33.554,42.9019/@33.554,42.9019,14z?hl=en","Maplink2")</f>
        <v>Maplink2</v>
      </c>
      <c r="AW84" s="20" t="str">
        <f>HYPERLINK("http://www.bing.com/maps/?lvl=14&amp;sty=h&amp;cp=33.554~42.9019&amp;sp=point.33.554_42.9019","Maplink3")</f>
        <v>Maplink3</v>
      </c>
    </row>
    <row r="85" spans="1:49" x14ac:dyDescent="0.25">
      <c r="A85" s="9">
        <v>24113</v>
      </c>
      <c r="B85" s="10" t="s">
        <v>8</v>
      </c>
      <c r="C85" s="10" t="s">
        <v>207</v>
      </c>
      <c r="D85" s="10" t="s">
        <v>216</v>
      </c>
      <c r="E85" s="10" t="s">
        <v>217</v>
      </c>
      <c r="F85" s="10">
        <v>33.641350000000003</v>
      </c>
      <c r="G85" s="10">
        <v>42.828389999999999</v>
      </c>
      <c r="H85" s="11">
        <v>1165</v>
      </c>
      <c r="I85" s="11">
        <v>6990</v>
      </c>
      <c r="J85" s="11">
        <v>428</v>
      </c>
      <c r="K85" s="11"/>
      <c r="L85" s="11">
        <v>455</v>
      </c>
      <c r="M85" s="11"/>
      <c r="N85" s="11"/>
      <c r="O85" s="11"/>
      <c r="P85" s="11">
        <v>121</v>
      </c>
      <c r="Q85" s="11"/>
      <c r="R85" s="11"/>
      <c r="S85" s="11"/>
      <c r="T85" s="11"/>
      <c r="U85" s="11"/>
      <c r="V85" s="11"/>
      <c r="W85" s="11"/>
      <c r="X85" s="11"/>
      <c r="Y85" s="11">
        <v>161</v>
      </c>
      <c r="Z85" s="11"/>
      <c r="AA85" s="11"/>
      <c r="AB85" s="11"/>
      <c r="AC85" s="11">
        <v>1054</v>
      </c>
      <c r="AD85" s="11"/>
      <c r="AE85" s="11"/>
      <c r="AF85" s="11"/>
      <c r="AG85" s="11"/>
      <c r="AH85" s="11"/>
      <c r="AI85" s="11">
        <v>111</v>
      </c>
      <c r="AJ85" s="11"/>
      <c r="AK85" s="11"/>
      <c r="AL85" s="11"/>
      <c r="AM85" s="11">
        <v>90</v>
      </c>
      <c r="AN85" s="11">
        <v>111</v>
      </c>
      <c r="AO85" s="11"/>
      <c r="AP85" s="11">
        <v>647</v>
      </c>
      <c r="AQ85" s="11">
        <v>73</v>
      </c>
      <c r="AR85" s="11">
        <v>244</v>
      </c>
      <c r="AS85" s="11"/>
      <c r="AT85" s="11"/>
      <c r="AU85" s="20" t="str">
        <f>HYPERLINK("http://www.openstreetmap.org/?mlat=33.6414&amp;mlon=42.8284&amp;zoom=12#map=12/33.6414/42.8284","Maplink1")</f>
        <v>Maplink1</v>
      </c>
      <c r="AV85" s="20" t="str">
        <f>HYPERLINK("https://www.google.iq/maps/search/+33.6414,42.8284/@33.6414,42.8284,14z?hl=en","Maplink2")</f>
        <v>Maplink2</v>
      </c>
      <c r="AW85" s="20" t="str">
        <f>HYPERLINK("http://www.bing.com/maps/?lvl=14&amp;sty=h&amp;cp=33.6414~42.8284&amp;sp=point.33.6414_42.8284","Maplink3")</f>
        <v>Maplink3</v>
      </c>
    </row>
    <row r="86" spans="1:49" x14ac:dyDescent="0.25">
      <c r="A86" s="9">
        <v>24114</v>
      </c>
      <c r="B86" s="10" t="s">
        <v>8</v>
      </c>
      <c r="C86" s="10" t="s">
        <v>207</v>
      </c>
      <c r="D86" s="10" t="s">
        <v>218</v>
      </c>
      <c r="E86" s="10" t="s">
        <v>219</v>
      </c>
      <c r="F86" s="10">
        <v>33.594520000000003</v>
      </c>
      <c r="G86" s="10">
        <v>42.614319999999999</v>
      </c>
      <c r="H86" s="11">
        <v>433</v>
      </c>
      <c r="I86" s="11">
        <v>2598</v>
      </c>
      <c r="J86" s="11">
        <v>364</v>
      </c>
      <c r="K86" s="11"/>
      <c r="L86" s="11"/>
      <c r="M86" s="11"/>
      <c r="N86" s="11"/>
      <c r="O86" s="11"/>
      <c r="P86" s="11"/>
      <c r="Q86" s="11"/>
      <c r="R86" s="11">
        <v>69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>
        <v>433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>
        <v>242</v>
      </c>
      <c r="AO86" s="11"/>
      <c r="AP86" s="11">
        <v>119</v>
      </c>
      <c r="AQ86" s="11">
        <v>72</v>
      </c>
      <c r="AR86" s="11"/>
      <c r="AS86" s="11"/>
      <c r="AT86" s="11"/>
      <c r="AU86" s="20" t="str">
        <f>HYPERLINK("http://www.openstreetmap.org/?mlat=33.5945&amp;mlon=42.6143&amp;zoom=12#map=12/33.5945/42.6143","Maplink1")</f>
        <v>Maplink1</v>
      </c>
      <c r="AV86" s="20" t="str">
        <f>HYPERLINK("https://www.google.iq/maps/search/+33.5945,42.6143/@33.5945,42.6143,14z?hl=en","Maplink2")</f>
        <v>Maplink2</v>
      </c>
      <c r="AW86" s="20" t="str">
        <f>HYPERLINK("http://www.bing.com/maps/?lvl=14&amp;sty=h&amp;cp=33.5945~42.6143&amp;sp=point.33.5945_42.6143","Maplink3")</f>
        <v>Maplink3</v>
      </c>
    </row>
    <row r="87" spans="1:49" x14ac:dyDescent="0.25">
      <c r="A87" s="9">
        <v>23832</v>
      </c>
      <c r="B87" s="10" t="s">
        <v>8</v>
      </c>
      <c r="C87" s="10" t="s">
        <v>207</v>
      </c>
      <c r="D87" s="10" t="s">
        <v>220</v>
      </c>
      <c r="E87" s="10" t="s">
        <v>221</v>
      </c>
      <c r="F87" s="10">
        <v>33.629280000000001</v>
      </c>
      <c r="G87" s="10">
        <v>42.797409999999999</v>
      </c>
      <c r="H87" s="11">
        <v>314</v>
      </c>
      <c r="I87" s="11">
        <v>1884</v>
      </c>
      <c r="J87" s="11"/>
      <c r="K87" s="11"/>
      <c r="L87" s="11"/>
      <c r="M87" s="11"/>
      <c r="N87" s="11"/>
      <c r="O87" s="11"/>
      <c r="P87" s="11">
        <v>124</v>
      </c>
      <c r="Q87" s="11"/>
      <c r="R87" s="11">
        <v>68</v>
      </c>
      <c r="S87" s="11"/>
      <c r="T87" s="11"/>
      <c r="U87" s="11"/>
      <c r="V87" s="11"/>
      <c r="W87" s="11"/>
      <c r="X87" s="11"/>
      <c r="Y87" s="11">
        <v>122</v>
      </c>
      <c r="Z87" s="11"/>
      <c r="AA87" s="11"/>
      <c r="AB87" s="11"/>
      <c r="AC87" s="11">
        <v>314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124</v>
      </c>
      <c r="AQ87" s="11">
        <v>190</v>
      </c>
      <c r="AR87" s="11"/>
      <c r="AS87" s="11"/>
      <c r="AT87" s="11"/>
      <c r="AU87" s="20" t="str">
        <f>HYPERLINK("http://www.openstreetmap.org/?mlat=33.6293&amp;mlon=42.7974&amp;zoom=12#map=12/33.6293/42.7974","Maplink1")</f>
        <v>Maplink1</v>
      </c>
      <c r="AV87" s="20" t="str">
        <f>HYPERLINK("https://www.google.iq/maps/search/+33.6293,42.7974/@33.6293,42.7974,14z?hl=en","Maplink2")</f>
        <v>Maplink2</v>
      </c>
      <c r="AW87" s="20" t="str">
        <f>HYPERLINK("http://www.bing.com/maps/?lvl=14&amp;sty=h&amp;cp=33.6293~42.7974&amp;sp=point.33.6293_42.7974","Maplink3")</f>
        <v>Maplink3</v>
      </c>
    </row>
    <row r="88" spans="1:49" x14ac:dyDescent="0.25">
      <c r="A88" s="9">
        <v>23890</v>
      </c>
      <c r="B88" s="10" t="s">
        <v>8</v>
      </c>
      <c r="C88" s="10" t="s">
        <v>207</v>
      </c>
      <c r="D88" s="10" t="s">
        <v>222</v>
      </c>
      <c r="E88" s="10" t="s">
        <v>223</v>
      </c>
      <c r="F88" s="10">
        <v>33.873609999999999</v>
      </c>
      <c r="G88" s="10">
        <v>42.522480000000002</v>
      </c>
      <c r="H88" s="11">
        <v>504</v>
      </c>
      <c r="I88" s="11">
        <v>3024</v>
      </c>
      <c r="J88" s="11"/>
      <c r="K88" s="11"/>
      <c r="L88" s="11">
        <v>243</v>
      </c>
      <c r="M88" s="11"/>
      <c r="N88" s="11"/>
      <c r="O88" s="11"/>
      <c r="P88" s="11">
        <v>84</v>
      </c>
      <c r="Q88" s="11"/>
      <c r="R88" s="11"/>
      <c r="S88" s="11"/>
      <c r="T88" s="11"/>
      <c r="U88" s="11"/>
      <c r="V88" s="11"/>
      <c r="W88" s="11"/>
      <c r="X88" s="11"/>
      <c r="Y88" s="11">
        <v>177</v>
      </c>
      <c r="Z88" s="11"/>
      <c r="AA88" s="11"/>
      <c r="AB88" s="11"/>
      <c r="AC88" s="11">
        <v>504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v>209</v>
      </c>
      <c r="AQ88" s="11">
        <v>295</v>
      </c>
      <c r="AR88" s="11"/>
      <c r="AS88" s="11"/>
      <c r="AT88" s="11"/>
      <c r="AU88" s="20" t="str">
        <f>HYPERLINK("http://www.openstreetmap.org/?mlat=33.8736&amp;mlon=42.5225&amp;zoom=12#map=12/33.8736/42.5225","Maplink1")</f>
        <v>Maplink1</v>
      </c>
      <c r="AV88" s="20" t="str">
        <f>HYPERLINK("https://www.google.iq/maps/search/+33.8736,42.5225/@33.8736,42.5225,14z?hl=en","Maplink2")</f>
        <v>Maplink2</v>
      </c>
      <c r="AW88" s="20" t="str">
        <f>HYPERLINK("http://www.bing.com/maps/?lvl=14&amp;sty=h&amp;cp=33.8736~42.5225&amp;sp=point.33.8736_42.5225","Maplink3")</f>
        <v>Maplink3</v>
      </c>
    </row>
    <row r="89" spans="1:49" x14ac:dyDescent="0.25">
      <c r="A89" s="9">
        <v>135</v>
      </c>
      <c r="B89" s="10" t="s">
        <v>8</v>
      </c>
      <c r="C89" s="10" t="s">
        <v>207</v>
      </c>
      <c r="D89" s="10" t="s">
        <v>224</v>
      </c>
      <c r="E89" s="10" t="s">
        <v>225</v>
      </c>
      <c r="F89" s="10">
        <v>33.632710000000003</v>
      </c>
      <c r="G89" s="10">
        <v>42.848387000000002</v>
      </c>
      <c r="H89" s="11">
        <v>507</v>
      </c>
      <c r="I89" s="11">
        <v>3042</v>
      </c>
      <c r="J89" s="11">
        <v>211</v>
      </c>
      <c r="K89" s="11"/>
      <c r="L89" s="11">
        <v>111</v>
      </c>
      <c r="M89" s="11"/>
      <c r="N89" s="11"/>
      <c r="O89" s="11"/>
      <c r="P89" s="11">
        <v>86</v>
      </c>
      <c r="Q89" s="11"/>
      <c r="R89" s="11">
        <v>60</v>
      </c>
      <c r="S89" s="11"/>
      <c r="T89" s="11"/>
      <c r="U89" s="11"/>
      <c r="V89" s="11"/>
      <c r="W89" s="11"/>
      <c r="X89" s="11"/>
      <c r="Y89" s="11">
        <v>39</v>
      </c>
      <c r="Z89" s="11"/>
      <c r="AA89" s="11"/>
      <c r="AB89" s="11"/>
      <c r="AC89" s="11">
        <v>507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>
        <v>60</v>
      </c>
      <c r="AO89" s="11"/>
      <c r="AP89" s="11">
        <v>230</v>
      </c>
      <c r="AQ89" s="11">
        <v>217</v>
      </c>
      <c r="AR89" s="11"/>
      <c r="AS89" s="11"/>
      <c r="AT89" s="11"/>
      <c r="AU89" s="20" t="str">
        <f>HYPERLINK("http://www.openstreetmap.org/?mlat=33.6327&amp;mlon=42.8484&amp;zoom=12#map=12/33.6327/42.8484","Maplink1")</f>
        <v>Maplink1</v>
      </c>
      <c r="AV89" s="20" t="str">
        <f>HYPERLINK("https://www.google.iq/maps/search/+33.6327,42.8484/@33.6327,42.8484,14z?hl=en","Maplink2")</f>
        <v>Maplink2</v>
      </c>
      <c r="AW89" s="20" t="str">
        <f>HYPERLINK("http://www.bing.com/maps/?lvl=14&amp;sty=h&amp;cp=33.6327~42.8484&amp;sp=point.33.6327_42.8484","Maplink3")</f>
        <v>Maplink3</v>
      </c>
    </row>
    <row r="90" spans="1:49" x14ac:dyDescent="0.25">
      <c r="A90" s="9">
        <v>21323</v>
      </c>
      <c r="B90" s="10" t="s">
        <v>8</v>
      </c>
      <c r="C90" s="10" t="s">
        <v>207</v>
      </c>
      <c r="D90" s="10" t="s">
        <v>1810</v>
      </c>
      <c r="E90" s="10" t="s">
        <v>212</v>
      </c>
      <c r="F90" s="10">
        <v>33.920729999999999</v>
      </c>
      <c r="G90" s="10">
        <v>42.523380000000003</v>
      </c>
      <c r="H90" s="11">
        <v>660</v>
      </c>
      <c r="I90" s="11">
        <v>3960</v>
      </c>
      <c r="J90" s="11"/>
      <c r="K90" s="11"/>
      <c r="L90" s="11">
        <v>313</v>
      </c>
      <c r="M90" s="11"/>
      <c r="N90" s="11"/>
      <c r="O90" s="11"/>
      <c r="P90" s="11">
        <v>272</v>
      </c>
      <c r="Q90" s="11"/>
      <c r="R90" s="11"/>
      <c r="S90" s="11"/>
      <c r="T90" s="11"/>
      <c r="U90" s="11"/>
      <c r="V90" s="11"/>
      <c r="W90" s="11"/>
      <c r="X90" s="11"/>
      <c r="Y90" s="11">
        <v>75</v>
      </c>
      <c r="Z90" s="11"/>
      <c r="AA90" s="11"/>
      <c r="AB90" s="11"/>
      <c r="AC90" s="11">
        <v>660</v>
      </c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>
        <v>98</v>
      </c>
      <c r="AO90" s="11"/>
      <c r="AP90" s="11">
        <v>215</v>
      </c>
      <c r="AQ90" s="11">
        <v>347</v>
      </c>
      <c r="AR90" s="11"/>
      <c r="AS90" s="11"/>
      <c r="AT90" s="11"/>
      <c r="AU90" s="20" t="str">
        <f>HYPERLINK("http://www.openstreetmap.org/?mlat=33.9207&amp;mlon=42.5234&amp;zoom=12#map=12/33.9207/42.5234","Maplink1")</f>
        <v>Maplink1</v>
      </c>
      <c r="AV90" s="20" t="str">
        <f>HYPERLINK("https://www.google.iq/maps/search/+33.9207,42.5234/@33.9207,42.5234,14z?hl=en","Maplink2")</f>
        <v>Maplink2</v>
      </c>
      <c r="AW90" s="20" t="str">
        <f>HYPERLINK("http://www.bing.com/maps/?lvl=14&amp;sty=h&amp;cp=33.9207~42.5234&amp;sp=point.33.9207_42.5234","Maplink3")</f>
        <v>Maplink3</v>
      </c>
    </row>
    <row r="91" spans="1:49" x14ac:dyDescent="0.25">
      <c r="A91" s="9">
        <v>23827</v>
      </c>
      <c r="B91" s="10" t="s">
        <v>8</v>
      </c>
      <c r="C91" s="10" t="s">
        <v>207</v>
      </c>
      <c r="D91" s="10" t="s">
        <v>226</v>
      </c>
      <c r="E91" s="10" t="s">
        <v>227</v>
      </c>
      <c r="F91" s="10">
        <v>33.642130000000002</v>
      </c>
      <c r="G91" s="10">
        <v>42.825870000000002</v>
      </c>
      <c r="H91" s="11">
        <v>1710</v>
      </c>
      <c r="I91" s="11">
        <v>10260</v>
      </c>
      <c r="J91" s="11">
        <v>544</v>
      </c>
      <c r="K91" s="11"/>
      <c r="L91" s="11">
        <v>518</v>
      </c>
      <c r="M91" s="11"/>
      <c r="N91" s="11"/>
      <c r="O91" s="11"/>
      <c r="P91" s="11">
        <v>311</v>
      </c>
      <c r="Q91" s="11"/>
      <c r="R91" s="11">
        <v>115</v>
      </c>
      <c r="S91" s="11"/>
      <c r="T91" s="11"/>
      <c r="U91" s="11"/>
      <c r="V91" s="11"/>
      <c r="W91" s="11"/>
      <c r="X91" s="11"/>
      <c r="Y91" s="11">
        <v>222</v>
      </c>
      <c r="Z91" s="11"/>
      <c r="AA91" s="11"/>
      <c r="AB91" s="11"/>
      <c r="AC91" s="11">
        <v>1622</v>
      </c>
      <c r="AD91" s="11"/>
      <c r="AE91" s="11"/>
      <c r="AF91" s="11"/>
      <c r="AG91" s="11"/>
      <c r="AH91" s="11"/>
      <c r="AI91" s="11">
        <v>88</v>
      </c>
      <c r="AJ91" s="11"/>
      <c r="AK91" s="11"/>
      <c r="AL91" s="11"/>
      <c r="AM91" s="11"/>
      <c r="AN91" s="11">
        <v>495</v>
      </c>
      <c r="AO91" s="11"/>
      <c r="AP91" s="11">
        <v>532</v>
      </c>
      <c r="AQ91" s="11">
        <v>426</v>
      </c>
      <c r="AR91" s="11">
        <v>257</v>
      </c>
      <c r="AS91" s="11"/>
      <c r="AT91" s="11"/>
      <c r="AU91" s="20" t="str">
        <f>HYPERLINK("http://www.openstreetmap.org/?mlat=33.6421&amp;mlon=42.8259&amp;zoom=12#map=12/33.6421/42.8259","Maplink1")</f>
        <v>Maplink1</v>
      </c>
      <c r="AV91" s="20" t="str">
        <f>HYPERLINK("https://www.google.iq/maps/search/+33.6421,42.8259/@33.6421,42.8259,14z?hl=en","Maplink2")</f>
        <v>Maplink2</v>
      </c>
      <c r="AW91" s="20" t="str">
        <f>HYPERLINK("http://www.bing.com/maps/?lvl=14&amp;sty=h&amp;cp=33.6421~42.8259&amp;sp=point.33.6421_42.8259","Maplink3")</f>
        <v>Maplink3</v>
      </c>
    </row>
    <row r="92" spans="1:49" x14ac:dyDescent="0.25">
      <c r="A92" s="9">
        <v>23831</v>
      </c>
      <c r="B92" s="10" t="s">
        <v>8</v>
      </c>
      <c r="C92" s="10" t="s">
        <v>207</v>
      </c>
      <c r="D92" s="10" t="s">
        <v>228</v>
      </c>
      <c r="E92" s="10" t="s">
        <v>229</v>
      </c>
      <c r="F92" s="10">
        <v>33.629689999999997</v>
      </c>
      <c r="G92" s="10">
        <v>42.818939999999998</v>
      </c>
      <c r="H92" s="11">
        <v>756</v>
      </c>
      <c r="I92" s="11">
        <v>4536</v>
      </c>
      <c r="J92" s="11">
        <v>216</v>
      </c>
      <c r="K92" s="11"/>
      <c r="L92" s="11">
        <v>192</v>
      </c>
      <c r="M92" s="11"/>
      <c r="N92" s="11"/>
      <c r="O92" s="11"/>
      <c r="P92" s="11">
        <v>64</v>
      </c>
      <c r="Q92" s="11"/>
      <c r="R92" s="11">
        <v>110</v>
      </c>
      <c r="S92" s="11"/>
      <c r="T92" s="11"/>
      <c r="U92" s="11"/>
      <c r="V92" s="11"/>
      <c r="W92" s="11"/>
      <c r="X92" s="11"/>
      <c r="Y92" s="11">
        <v>174</v>
      </c>
      <c r="Z92" s="11"/>
      <c r="AA92" s="11"/>
      <c r="AB92" s="11"/>
      <c r="AC92" s="11">
        <v>756</v>
      </c>
      <c r="AD92" s="11"/>
      <c r="AE92" s="11"/>
      <c r="AF92" s="11"/>
      <c r="AG92" s="11"/>
      <c r="AH92" s="11"/>
      <c r="AI92" s="11"/>
      <c r="AJ92" s="11"/>
      <c r="AK92" s="11"/>
      <c r="AL92" s="11"/>
      <c r="AM92" s="11">
        <v>120</v>
      </c>
      <c r="AN92" s="11">
        <v>174</v>
      </c>
      <c r="AO92" s="11"/>
      <c r="AP92" s="11">
        <v>159</v>
      </c>
      <c r="AQ92" s="11">
        <v>182</v>
      </c>
      <c r="AR92" s="11">
        <v>121</v>
      </c>
      <c r="AS92" s="11"/>
      <c r="AT92" s="11"/>
      <c r="AU92" s="20" t="str">
        <f>HYPERLINK("http://www.openstreetmap.org/?mlat=33.6297&amp;mlon=42.8189&amp;zoom=12#map=12/33.6297/42.8189","Maplink1")</f>
        <v>Maplink1</v>
      </c>
      <c r="AV92" s="20" t="str">
        <f>HYPERLINK("https://www.google.iq/maps/search/+33.6297,42.8189/@33.6297,42.8189,14z?hl=en","Maplink2")</f>
        <v>Maplink2</v>
      </c>
      <c r="AW92" s="20" t="str">
        <f>HYPERLINK("http://www.bing.com/maps/?lvl=14&amp;sty=h&amp;cp=33.6297~42.8189&amp;sp=point.33.6297_42.8189","Maplink3")</f>
        <v>Maplink3</v>
      </c>
    </row>
    <row r="93" spans="1:49" x14ac:dyDescent="0.25">
      <c r="A93" s="9">
        <v>21264</v>
      </c>
      <c r="B93" s="10" t="s">
        <v>8</v>
      </c>
      <c r="C93" s="10" t="s">
        <v>207</v>
      </c>
      <c r="D93" s="10" t="s">
        <v>230</v>
      </c>
      <c r="E93" s="10" t="s">
        <v>231</v>
      </c>
      <c r="F93" s="10">
        <v>33.648940000000003</v>
      </c>
      <c r="G93" s="10">
        <v>42.805219999999998</v>
      </c>
      <c r="H93" s="11">
        <v>1376</v>
      </c>
      <c r="I93" s="11">
        <v>8256</v>
      </c>
      <c r="J93" s="11">
        <v>688</v>
      </c>
      <c r="K93" s="11"/>
      <c r="L93" s="11">
        <v>147</v>
      </c>
      <c r="M93" s="11"/>
      <c r="N93" s="11"/>
      <c r="O93" s="11"/>
      <c r="P93" s="11">
        <v>35</v>
      </c>
      <c r="Q93" s="11"/>
      <c r="R93" s="11">
        <v>260</v>
      </c>
      <c r="S93" s="11"/>
      <c r="T93" s="11"/>
      <c r="U93" s="11"/>
      <c r="V93" s="11"/>
      <c r="W93" s="11"/>
      <c r="X93" s="11"/>
      <c r="Y93" s="11">
        <v>246</v>
      </c>
      <c r="Z93" s="11"/>
      <c r="AA93" s="11"/>
      <c r="AB93" s="11"/>
      <c r="AC93" s="11">
        <v>1376</v>
      </c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>
        <v>213</v>
      </c>
      <c r="AO93" s="11"/>
      <c r="AP93" s="11">
        <v>439</v>
      </c>
      <c r="AQ93" s="11">
        <v>304</v>
      </c>
      <c r="AR93" s="11">
        <v>420</v>
      </c>
      <c r="AS93" s="11"/>
      <c r="AT93" s="11"/>
      <c r="AU93" s="20" t="str">
        <f>HYPERLINK("http://www.openstreetmap.org/?mlat=33.6489&amp;mlon=42.8052&amp;zoom=12#map=12/33.6489/42.8052","Maplink1")</f>
        <v>Maplink1</v>
      </c>
      <c r="AV93" s="20" t="str">
        <f>HYPERLINK("https://www.google.iq/maps/search/+33.6489,42.8052/@33.6489,42.8052,14z?hl=en","Maplink2")</f>
        <v>Maplink2</v>
      </c>
      <c r="AW93" s="20" t="str">
        <f>HYPERLINK("http://www.bing.com/maps/?lvl=14&amp;sty=h&amp;cp=33.6489~42.8052&amp;sp=point.33.6489_42.8052","Maplink3")</f>
        <v>Maplink3</v>
      </c>
    </row>
    <row r="94" spans="1:49" x14ac:dyDescent="0.25">
      <c r="A94" s="9">
        <v>23829</v>
      </c>
      <c r="B94" s="10" t="s">
        <v>8</v>
      </c>
      <c r="C94" s="10" t="s">
        <v>207</v>
      </c>
      <c r="D94" s="10" t="s">
        <v>232</v>
      </c>
      <c r="E94" s="10" t="s">
        <v>233</v>
      </c>
      <c r="F94" s="10">
        <v>33.613579999999999</v>
      </c>
      <c r="G94" s="10">
        <v>42.861890000000002</v>
      </c>
      <c r="H94" s="11">
        <v>280</v>
      </c>
      <c r="I94" s="11">
        <v>1680</v>
      </c>
      <c r="J94" s="11">
        <v>43</v>
      </c>
      <c r="K94" s="11"/>
      <c r="L94" s="11"/>
      <c r="M94" s="11"/>
      <c r="N94" s="11"/>
      <c r="O94" s="11"/>
      <c r="P94" s="11">
        <v>113</v>
      </c>
      <c r="Q94" s="11"/>
      <c r="R94" s="11"/>
      <c r="S94" s="11"/>
      <c r="T94" s="11"/>
      <c r="U94" s="11"/>
      <c r="V94" s="11"/>
      <c r="W94" s="11"/>
      <c r="X94" s="11"/>
      <c r="Y94" s="11">
        <v>124</v>
      </c>
      <c r="Z94" s="11"/>
      <c r="AA94" s="11"/>
      <c r="AB94" s="11"/>
      <c r="AC94" s="11">
        <v>280</v>
      </c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>
        <v>124</v>
      </c>
      <c r="AO94" s="11"/>
      <c r="AP94" s="11">
        <v>113</v>
      </c>
      <c r="AQ94" s="11">
        <v>43</v>
      </c>
      <c r="AR94" s="11"/>
      <c r="AS94" s="11"/>
      <c r="AT94" s="11"/>
      <c r="AU94" s="20" t="str">
        <f>HYPERLINK("http://www.openstreetmap.org/?mlat=33.6136&amp;mlon=42.8619&amp;zoom=12#map=12/33.6136/42.8619","Maplink1")</f>
        <v>Maplink1</v>
      </c>
      <c r="AV94" s="20" t="str">
        <f>HYPERLINK("https://www.google.iq/maps/search/+33.6136,42.8619/@33.6136,42.8619,14z?hl=en","Maplink2")</f>
        <v>Maplink2</v>
      </c>
      <c r="AW94" s="20" t="str">
        <f>HYPERLINK("http://www.bing.com/maps/?lvl=14&amp;sty=h&amp;cp=33.6136~42.8619&amp;sp=point.33.6136_42.8619","Maplink3")</f>
        <v>Maplink3</v>
      </c>
    </row>
    <row r="95" spans="1:49" x14ac:dyDescent="0.25">
      <c r="A95" s="9">
        <v>23838</v>
      </c>
      <c r="B95" s="10" t="s">
        <v>8</v>
      </c>
      <c r="C95" s="10" t="s">
        <v>207</v>
      </c>
      <c r="D95" s="10" t="s">
        <v>235</v>
      </c>
      <c r="E95" s="10" t="s">
        <v>236</v>
      </c>
      <c r="F95" s="10">
        <v>33.589885000000002</v>
      </c>
      <c r="G95" s="10">
        <v>42.618650000000002</v>
      </c>
      <c r="H95" s="11">
        <v>1037</v>
      </c>
      <c r="I95" s="11">
        <v>6222</v>
      </c>
      <c r="J95" s="11">
        <v>689</v>
      </c>
      <c r="K95" s="11"/>
      <c r="L95" s="11"/>
      <c r="M95" s="11"/>
      <c r="N95" s="11"/>
      <c r="O95" s="11"/>
      <c r="P95" s="11">
        <v>190</v>
      </c>
      <c r="Q95" s="11"/>
      <c r="R95" s="11"/>
      <c r="S95" s="11"/>
      <c r="T95" s="11"/>
      <c r="U95" s="11"/>
      <c r="V95" s="11"/>
      <c r="W95" s="11"/>
      <c r="X95" s="11"/>
      <c r="Y95" s="11">
        <v>158</v>
      </c>
      <c r="Z95" s="11"/>
      <c r="AA95" s="11"/>
      <c r="AB95" s="11"/>
      <c r="AC95" s="11">
        <v>1025</v>
      </c>
      <c r="AD95" s="11"/>
      <c r="AE95" s="11"/>
      <c r="AF95" s="11"/>
      <c r="AG95" s="11"/>
      <c r="AH95" s="11"/>
      <c r="AI95" s="11">
        <v>12</v>
      </c>
      <c r="AJ95" s="11"/>
      <c r="AK95" s="11"/>
      <c r="AL95" s="11"/>
      <c r="AM95" s="11"/>
      <c r="AN95" s="11">
        <v>217</v>
      </c>
      <c r="AO95" s="11"/>
      <c r="AP95" s="11">
        <v>602</v>
      </c>
      <c r="AQ95" s="11">
        <v>100</v>
      </c>
      <c r="AR95" s="11">
        <v>118</v>
      </c>
      <c r="AS95" s="11"/>
      <c r="AT95" s="11"/>
      <c r="AU95" s="20" t="str">
        <f>HYPERLINK("http://www.openstreetmap.org/?mlat=33.5899&amp;mlon=42.6187&amp;zoom=12#map=12/33.5899/42.6187","Maplink1")</f>
        <v>Maplink1</v>
      </c>
      <c r="AV95" s="20" t="str">
        <f>HYPERLINK("https://www.google.iq/maps/search/+33.5899,42.6187/@33.5899,42.6187,14z?hl=en","Maplink2")</f>
        <v>Maplink2</v>
      </c>
      <c r="AW95" s="20" t="str">
        <f>HYPERLINK("http://www.bing.com/maps/?lvl=14&amp;sty=h&amp;cp=33.5899~42.6187&amp;sp=point.33.5899_42.6187","Maplink3")</f>
        <v>Maplink3</v>
      </c>
    </row>
    <row r="96" spans="1:49" x14ac:dyDescent="0.25">
      <c r="A96" s="9">
        <v>228</v>
      </c>
      <c r="B96" s="10" t="s">
        <v>8</v>
      </c>
      <c r="C96" s="10" t="s">
        <v>207</v>
      </c>
      <c r="D96" s="10" t="s">
        <v>237</v>
      </c>
      <c r="E96" s="10" t="s">
        <v>238</v>
      </c>
      <c r="F96" s="10">
        <v>33.640709999999999</v>
      </c>
      <c r="G96" s="10">
        <v>42.822029999999998</v>
      </c>
      <c r="H96" s="11">
        <v>1649</v>
      </c>
      <c r="I96" s="11">
        <v>9894</v>
      </c>
      <c r="J96" s="11">
        <v>969</v>
      </c>
      <c r="K96" s="11"/>
      <c r="L96" s="11">
        <v>276</v>
      </c>
      <c r="M96" s="11"/>
      <c r="N96" s="11"/>
      <c r="O96" s="11"/>
      <c r="P96" s="11">
        <v>102</v>
      </c>
      <c r="Q96" s="11"/>
      <c r="R96" s="11"/>
      <c r="S96" s="11"/>
      <c r="T96" s="11"/>
      <c r="U96" s="11"/>
      <c r="V96" s="11"/>
      <c r="W96" s="11"/>
      <c r="X96" s="11"/>
      <c r="Y96" s="11">
        <v>302</v>
      </c>
      <c r="Z96" s="11"/>
      <c r="AA96" s="11"/>
      <c r="AB96" s="11"/>
      <c r="AC96" s="11">
        <v>1649</v>
      </c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>
        <v>334</v>
      </c>
      <c r="AO96" s="11"/>
      <c r="AP96" s="11">
        <v>472</v>
      </c>
      <c r="AQ96" s="11">
        <v>346</v>
      </c>
      <c r="AR96" s="11">
        <v>497</v>
      </c>
      <c r="AS96" s="11"/>
      <c r="AT96" s="11"/>
      <c r="AU96" s="20" t="str">
        <f>HYPERLINK("http://www.openstreetmap.org/?mlat=33.6407&amp;mlon=42.822&amp;zoom=12#map=12/33.6407/42.822","Maplink1")</f>
        <v>Maplink1</v>
      </c>
      <c r="AV96" s="20" t="str">
        <f>HYPERLINK("https://www.google.iq/maps/search/+33.6407,42.822/@33.6407,42.822,14z?hl=en","Maplink2")</f>
        <v>Maplink2</v>
      </c>
      <c r="AW96" s="20" t="str">
        <f>HYPERLINK("http://www.bing.com/maps/?lvl=14&amp;sty=h&amp;cp=33.6407~42.822&amp;sp=point.33.6407_42.822","Maplink3")</f>
        <v>Maplink3</v>
      </c>
    </row>
    <row r="97" spans="1:49" x14ac:dyDescent="0.25">
      <c r="A97" s="9">
        <v>21470</v>
      </c>
      <c r="B97" s="10" t="s">
        <v>8</v>
      </c>
      <c r="C97" s="10" t="s">
        <v>207</v>
      </c>
      <c r="D97" s="10" t="s">
        <v>1811</v>
      </c>
      <c r="E97" s="10" t="s">
        <v>1578</v>
      </c>
      <c r="F97" s="10">
        <v>33.881143999999999</v>
      </c>
      <c r="G97" s="10">
        <v>42.525905000000002</v>
      </c>
      <c r="H97" s="11">
        <v>62</v>
      </c>
      <c r="I97" s="11">
        <v>372</v>
      </c>
      <c r="J97" s="11"/>
      <c r="K97" s="11"/>
      <c r="L97" s="11">
        <v>62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>
        <v>62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v>62</v>
      </c>
      <c r="AQ97" s="11"/>
      <c r="AR97" s="11"/>
      <c r="AS97" s="11"/>
      <c r="AT97" s="11"/>
      <c r="AU97" s="20" t="str">
        <f>HYPERLINK("http://www.openstreetmap.org/?mlat=33.8811&amp;mlon=42.5259&amp;zoom=12#map=12/33.8811/42.5259","Maplink1")</f>
        <v>Maplink1</v>
      </c>
      <c r="AV97" s="20" t="str">
        <f>HYPERLINK("https://www.google.iq/maps/search/+33.8811,42.5259/@33.8811,42.5259,14z?hl=en","Maplink2")</f>
        <v>Maplink2</v>
      </c>
      <c r="AW97" s="20" t="str">
        <f>HYPERLINK("http://www.bing.com/maps/?lvl=14&amp;sty=h&amp;cp=33.8811~42.5259&amp;sp=point.33.8811_42.5259","Maplink3")</f>
        <v>Maplink3</v>
      </c>
    </row>
    <row r="98" spans="1:49" x14ac:dyDescent="0.25">
      <c r="A98" s="9">
        <v>23839</v>
      </c>
      <c r="B98" s="10" t="s">
        <v>8</v>
      </c>
      <c r="C98" s="10" t="s">
        <v>207</v>
      </c>
      <c r="D98" s="10" t="s">
        <v>239</v>
      </c>
      <c r="E98" s="10" t="s">
        <v>240</v>
      </c>
      <c r="F98" s="10">
        <v>33.594890999999997</v>
      </c>
      <c r="G98" s="10">
        <v>42.613263000000003</v>
      </c>
      <c r="H98" s="11">
        <v>1104</v>
      </c>
      <c r="I98" s="11">
        <v>6624</v>
      </c>
      <c r="J98" s="11">
        <v>509</v>
      </c>
      <c r="K98" s="11"/>
      <c r="L98" s="11">
        <v>164</v>
      </c>
      <c r="M98" s="11"/>
      <c r="N98" s="11"/>
      <c r="O98" s="11"/>
      <c r="P98" s="11">
        <v>218</v>
      </c>
      <c r="Q98" s="11"/>
      <c r="R98" s="11">
        <v>130</v>
      </c>
      <c r="S98" s="11"/>
      <c r="T98" s="11"/>
      <c r="U98" s="11"/>
      <c r="V98" s="11"/>
      <c r="W98" s="11"/>
      <c r="X98" s="11"/>
      <c r="Y98" s="11">
        <v>83</v>
      </c>
      <c r="Z98" s="11"/>
      <c r="AA98" s="11"/>
      <c r="AB98" s="11"/>
      <c r="AC98" s="11">
        <v>1104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>
        <v>301</v>
      </c>
      <c r="AO98" s="11"/>
      <c r="AP98" s="11">
        <v>367</v>
      </c>
      <c r="AQ98" s="11">
        <v>436</v>
      </c>
      <c r="AR98" s="11"/>
      <c r="AS98" s="11"/>
      <c r="AT98" s="11"/>
      <c r="AU98" s="20" t="str">
        <f>HYPERLINK("http://www.openstreetmap.org/?mlat=33.5949&amp;mlon=42.6133&amp;zoom=12#map=12/33.5949/42.6133","Maplink1")</f>
        <v>Maplink1</v>
      </c>
      <c r="AV98" s="20" t="str">
        <f>HYPERLINK("https://www.google.iq/maps/search/+33.5949,42.6133/@33.5949,42.6133,14z?hl=en","Maplink2")</f>
        <v>Maplink2</v>
      </c>
      <c r="AW98" s="20" t="str">
        <f>HYPERLINK("http://www.bing.com/maps/?lvl=14&amp;sty=h&amp;cp=33.5949~42.6133&amp;sp=point.33.5949_42.6133","Maplink3")</f>
        <v>Maplink3</v>
      </c>
    </row>
    <row r="99" spans="1:49" x14ac:dyDescent="0.25">
      <c r="A99" s="9">
        <v>29535</v>
      </c>
      <c r="B99" s="10" t="s">
        <v>8</v>
      </c>
      <c r="C99" s="10" t="s">
        <v>207</v>
      </c>
      <c r="D99" s="10" t="s">
        <v>241</v>
      </c>
      <c r="E99" s="10" t="s">
        <v>168</v>
      </c>
      <c r="F99" s="10">
        <v>33.590589999999999</v>
      </c>
      <c r="G99" s="10">
        <v>42.615960000000001</v>
      </c>
      <c r="H99" s="11">
        <v>718</v>
      </c>
      <c r="I99" s="11">
        <v>4308</v>
      </c>
      <c r="J99" s="11">
        <v>292</v>
      </c>
      <c r="K99" s="11"/>
      <c r="L99" s="11">
        <v>225</v>
      </c>
      <c r="M99" s="11"/>
      <c r="N99" s="11"/>
      <c r="O99" s="11"/>
      <c r="P99" s="11">
        <v>49</v>
      </c>
      <c r="Q99" s="11"/>
      <c r="R99" s="11">
        <v>76</v>
      </c>
      <c r="S99" s="11"/>
      <c r="T99" s="11"/>
      <c r="U99" s="11"/>
      <c r="V99" s="11"/>
      <c r="W99" s="11"/>
      <c r="X99" s="11"/>
      <c r="Y99" s="11">
        <v>76</v>
      </c>
      <c r="Z99" s="11"/>
      <c r="AA99" s="11"/>
      <c r="AB99" s="11"/>
      <c r="AC99" s="11">
        <v>718</v>
      </c>
      <c r="AD99" s="11"/>
      <c r="AE99" s="11"/>
      <c r="AF99" s="11"/>
      <c r="AG99" s="11"/>
      <c r="AH99" s="11"/>
      <c r="AI99" s="11"/>
      <c r="AJ99" s="11"/>
      <c r="AK99" s="11"/>
      <c r="AL99" s="11"/>
      <c r="AM99" s="11">
        <v>337</v>
      </c>
      <c r="AN99" s="11">
        <v>125</v>
      </c>
      <c r="AO99" s="11"/>
      <c r="AP99" s="11">
        <v>256</v>
      </c>
      <c r="AQ99" s="11"/>
      <c r="AR99" s="11"/>
      <c r="AS99" s="11"/>
      <c r="AT99" s="11"/>
      <c r="AU99" s="20" t="str">
        <f>HYPERLINK("http://www.openstreetmap.org/?mlat=33.5906&amp;mlon=42.616&amp;zoom=12#map=12/33.5906/42.616","Maplink1")</f>
        <v>Maplink1</v>
      </c>
      <c r="AV99" s="20" t="str">
        <f>HYPERLINK("https://www.google.iq/maps/search/+33.5906,42.616/@33.5906,42.616,14z?hl=en","Maplink2")</f>
        <v>Maplink2</v>
      </c>
      <c r="AW99" s="20" t="str">
        <f>HYPERLINK("http://www.bing.com/maps/?lvl=14&amp;sty=h&amp;cp=33.5906~42.616&amp;sp=point.33.5906_42.616","Maplink3")</f>
        <v>Maplink3</v>
      </c>
    </row>
    <row r="100" spans="1:49" x14ac:dyDescent="0.25">
      <c r="A100" s="9">
        <v>218</v>
      </c>
      <c r="B100" s="10" t="s">
        <v>8</v>
      </c>
      <c r="C100" s="10" t="s">
        <v>207</v>
      </c>
      <c r="D100" s="10" t="s">
        <v>1812</v>
      </c>
      <c r="E100" s="10" t="s">
        <v>234</v>
      </c>
      <c r="F100" s="10">
        <v>33.632010000000001</v>
      </c>
      <c r="G100" s="10">
        <v>42.830120000000001</v>
      </c>
      <c r="H100" s="11">
        <v>1053</v>
      </c>
      <c r="I100" s="11">
        <v>6318</v>
      </c>
      <c r="J100" s="11"/>
      <c r="K100" s="11"/>
      <c r="L100" s="11">
        <v>580</v>
      </c>
      <c r="M100" s="11"/>
      <c r="N100" s="11"/>
      <c r="O100" s="11"/>
      <c r="P100" s="11">
        <v>117</v>
      </c>
      <c r="Q100" s="11"/>
      <c r="R100" s="11">
        <v>202</v>
      </c>
      <c r="S100" s="11"/>
      <c r="T100" s="11"/>
      <c r="U100" s="11"/>
      <c r="V100" s="11"/>
      <c r="W100" s="11"/>
      <c r="X100" s="11"/>
      <c r="Y100" s="11">
        <v>154</v>
      </c>
      <c r="Z100" s="11"/>
      <c r="AA100" s="11"/>
      <c r="AB100" s="11"/>
      <c r="AC100" s="11">
        <v>1053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>
        <v>117</v>
      </c>
      <c r="AO100" s="11"/>
      <c r="AP100" s="11">
        <v>535</v>
      </c>
      <c r="AQ100" s="11">
        <v>401</v>
      </c>
      <c r="AR100" s="11"/>
      <c r="AS100" s="11"/>
      <c r="AT100" s="11"/>
      <c r="AU100" s="20" t="str">
        <f>HYPERLINK("http://www.openstreetmap.org/?mlat=33.632&amp;mlon=42.8301&amp;zoom=12#map=12/33.632/42.8301","Maplink1")</f>
        <v>Maplink1</v>
      </c>
      <c r="AV100" s="20" t="str">
        <f>HYPERLINK("https://www.google.iq/maps/search/+33.632,42.8301/@33.632,42.8301,14z?hl=en","Maplink2")</f>
        <v>Maplink2</v>
      </c>
      <c r="AW100" s="20" t="str">
        <f>HYPERLINK("http://www.bing.com/maps/?lvl=14&amp;sty=h&amp;cp=33.632~42.8301&amp;sp=point.33.632_42.8301","Maplink3")</f>
        <v>Maplink3</v>
      </c>
    </row>
    <row r="101" spans="1:49" x14ac:dyDescent="0.25">
      <c r="A101" s="9">
        <v>219</v>
      </c>
      <c r="B101" s="10" t="s">
        <v>8</v>
      </c>
      <c r="C101" s="10" t="s">
        <v>207</v>
      </c>
      <c r="D101" s="10" t="s">
        <v>242</v>
      </c>
      <c r="E101" s="10" t="s">
        <v>243</v>
      </c>
      <c r="F101" s="10">
        <v>33.638379999999998</v>
      </c>
      <c r="G101" s="10">
        <v>42.81794</v>
      </c>
      <c r="H101" s="11">
        <v>1315</v>
      </c>
      <c r="I101" s="11">
        <v>7890</v>
      </c>
      <c r="J101" s="11">
        <v>799</v>
      </c>
      <c r="K101" s="11"/>
      <c r="L101" s="11">
        <v>235</v>
      </c>
      <c r="M101" s="11"/>
      <c r="N101" s="11"/>
      <c r="O101" s="11"/>
      <c r="P101" s="11">
        <v>54</v>
      </c>
      <c r="Q101" s="11"/>
      <c r="R101" s="11">
        <v>168</v>
      </c>
      <c r="S101" s="11"/>
      <c r="T101" s="11"/>
      <c r="U101" s="11"/>
      <c r="V101" s="11"/>
      <c r="W101" s="11"/>
      <c r="X101" s="11"/>
      <c r="Y101" s="11">
        <v>59</v>
      </c>
      <c r="Z101" s="11"/>
      <c r="AA101" s="11"/>
      <c r="AB101" s="11"/>
      <c r="AC101" s="11">
        <v>1275</v>
      </c>
      <c r="AD101" s="11"/>
      <c r="AE101" s="11"/>
      <c r="AF101" s="11"/>
      <c r="AG101" s="11"/>
      <c r="AH101" s="11"/>
      <c r="AI101" s="11">
        <v>40</v>
      </c>
      <c r="AJ101" s="11"/>
      <c r="AK101" s="11"/>
      <c r="AL101" s="11"/>
      <c r="AM101" s="11"/>
      <c r="AN101" s="11">
        <v>295</v>
      </c>
      <c r="AO101" s="11"/>
      <c r="AP101" s="11">
        <v>332</v>
      </c>
      <c r="AQ101" s="11">
        <v>221</v>
      </c>
      <c r="AR101" s="11">
        <v>467</v>
      </c>
      <c r="AS101" s="11"/>
      <c r="AT101" s="11"/>
      <c r="AU101" s="20" t="str">
        <f>HYPERLINK("http://www.openstreetmap.org/?mlat=33.6384&amp;mlon=42.8179&amp;zoom=12#map=12/33.6384/42.8179","Maplink1")</f>
        <v>Maplink1</v>
      </c>
      <c r="AV101" s="20" t="str">
        <f>HYPERLINK("https://www.google.iq/maps/search/+33.6384,42.8179/@33.6384,42.8179,14z?hl=en","Maplink2")</f>
        <v>Maplink2</v>
      </c>
      <c r="AW101" s="20" t="str">
        <f>HYPERLINK("http://www.bing.com/maps/?lvl=14&amp;sty=h&amp;cp=33.6384~42.8179&amp;sp=point.33.6384_42.8179","Maplink3")</f>
        <v>Maplink3</v>
      </c>
    </row>
    <row r="102" spans="1:49" x14ac:dyDescent="0.25">
      <c r="A102" s="9">
        <v>23885</v>
      </c>
      <c r="B102" s="10" t="s">
        <v>8</v>
      </c>
      <c r="C102" s="10" t="s">
        <v>207</v>
      </c>
      <c r="D102" s="10" t="s">
        <v>244</v>
      </c>
      <c r="E102" s="10" t="s">
        <v>245</v>
      </c>
      <c r="F102" s="10">
        <v>33.62961</v>
      </c>
      <c r="G102" s="10">
        <v>42.845709999999997</v>
      </c>
      <c r="H102" s="11">
        <v>1481</v>
      </c>
      <c r="I102" s="11">
        <v>8886</v>
      </c>
      <c r="J102" s="11">
        <v>254</v>
      </c>
      <c r="K102" s="11"/>
      <c r="L102" s="11">
        <v>489</v>
      </c>
      <c r="M102" s="11"/>
      <c r="N102" s="11"/>
      <c r="O102" s="11"/>
      <c r="P102" s="11">
        <v>189</v>
      </c>
      <c r="Q102" s="11"/>
      <c r="R102" s="11">
        <v>188</v>
      </c>
      <c r="S102" s="11"/>
      <c r="T102" s="11"/>
      <c r="U102" s="11"/>
      <c r="V102" s="11"/>
      <c r="W102" s="11"/>
      <c r="X102" s="11"/>
      <c r="Y102" s="11">
        <v>361</v>
      </c>
      <c r="Z102" s="11"/>
      <c r="AA102" s="11"/>
      <c r="AB102" s="11"/>
      <c r="AC102" s="11">
        <v>1434</v>
      </c>
      <c r="AD102" s="11"/>
      <c r="AE102" s="11"/>
      <c r="AF102" s="11"/>
      <c r="AG102" s="11"/>
      <c r="AH102" s="11"/>
      <c r="AI102" s="11">
        <v>47</v>
      </c>
      <c r="AJ102" s="11"/>
      <c r="AK102" s="11"/>
      <c r="AL102" s="11"/>
      <c r="AM102" s="11"/>
      <c r="AN102" s="11">
        <v>411</v>
      </c>
      <c r="AO102" s="11"/>
      <c r="AP102" s="11">
        <v>337</v>
      </c>
      <c r="AQ102" s="11">
        <v>593</v>
      </c>
      <c r="AR102" s="11">
        <v>140</v>
      </c>
      <c r="AS102" s="11"/>
      <c r="AT102" s="11"/>
      <c r="AU102" s="20" t="str">
        <f>HYPERLINK("http://www.openstreetmap.org/?mlat=33.6296&amp;mlon=42.8457&amp;zoom=12#map=12/33.6296/42.8457","Maplink1")</f>
        <v>Maplink1</v>
      </c>
      <c r="AV102" s="20" t="str">
        <f>HYPERLINK("https://www.google.iq/maps/search/+33.6296,42.8457/@33.6296,42.8457,14z?hl=en","Maplink2")</f>
        <v>Maplink2</v>
      </c>
      <c r="AW102" s="20" t="str">
        <f>HYPERLINK("http://www.bing.com/maps/?lvl=14&amp;sty=h&amp;cp=33.6296~42.8457&amp;sp=point.33.6296_42.8457","Maplink3")</f>
        <v>Maplink3</v>
      </c>
    </row>
    <row r="103" spans="1:49" x14ac:dyDescent="0.25">
      <c r="A103" s="9">
        <v>29536</v>
      </c>
      <c r="B103" s="10" t="s">
        <v>8</v>
      </c>
      <c r="C103" s="10" t="s">
        <v>207</v>
      </c>
      <c r="D103" s="10" t="s">
        <v>246</v>
      </c>
      <c r="E103" s="10" t="s">
        <v>247</v>
      </c>
      <c r="F103" s="10">
        <v>33.58811</v>
      </c>
      <c r="G103" s="10">
        <v>42.60783</v>
      </c>
      <c r="H103" s="11">
        <v>913</v>
      </c>
      <c r="I103" s="11">
        <v>5478</v>
      </c>
      <c r="J103" s="11">
        <v>592</v>
      </c>
      <c r="K103" s="11"/>
      <c r="L103" s="11">
        <v>90</v>
      </c>
      <c r="M103" s="11"/>
      <c r="N103" s="11"/>
      <c r="O103" s="11"/>
      <c r="P103" s="11"/>
      <c r="Q103" s="11"/>
      <c r="R103" s="11">
        <v>60</v>
      </c>
      <c r="S103" s="11"/>
      <c r="T103" s="11"/>
      <c r="U103" s="11"/>
      <c r="V103" s="11"/>
      <c r="W103" s="11"/>
      <c r="X103" s="11"/>
      <c r="Y103" s="11">
        <v>171</v>
      </c>
      <c r="Z103" s="11"/>
      <c r="AA103" s="11"/>
      <c r="AB103" s="11"/>
      <c r="AC103" s="11">
        <v>913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>
        <v>90</v>
      </c>
      <c r="AO103" s="11"/>
      <c r="AP103" s="11">
        <v>434</v>
      </c>
      <c r="AQ103" s="11">
        <v>389</v>
      </c>
      <c r="AR103" s="11"/>
      <c r="AS103" s="11"/>
      <c r="AT103" s="11"/>
      <c r="AU103" s="20" t="str">
        <f>HYPERLINK("http://www.openstreetmap.org/?mlat=33.5881&amp;mlon=42.6078&amp;zoom=12#map=12/33.5881/42.6078","Maplink1")</f>
        <v>Maplink1</v>
      </c>
      <c r="AV103" s="20" t="str">
        <f>HYPERLINK("https://www.google.iq/maps/search/+33.5881,42.6078/@33.5881,42.6078,14z?hl=en","Maplink2")</f>
        <v>Maplink2</v>
      </c>
      <c r="AW103" s="20" t="str">
        <f>HYPERLINK("http://www.bing.com/maps/?lvl=14&amp;sty=h&amp;cp=33.5881~42.6078&amp;sp=point.33.5881_42.6078","Maplink3")</f>
        <v>Maplink3</v>
      </c>
    </row>
    <row r="104" spans="1:49" x14ac:dyDescent="0.25">
      <c r="A104" s="9">
        <v>21231</v>
      </c>
      <c r="B104" s="10" t="s">
        <v>8</v>
      </c>
      <c r="C104" s="10" t="s">
        <v>207</v>
      </c>
      <c r="D104" s="10" t="s">
        <v>248</v>
      </c>
      <c r="E104" s="10" t="s">
        <v>249</v>
      </c>
      <c r="F104" s="10">
        <v>33.636090000000003</v>
      </c>
      <c r="G104" s="10">
        <v>42.836660000000002</v>
      </c>
      <c r="H104" s="11">
        <v>1284</v>
      </c>
      <c r="I104" s="11">
        <v>7704</v>
      </c>
      <c r="J104" s="11">
        <v>314</v>
      </c>
      <c r="K104" s="11"/>
      <c r="L104" s="11">
        <v>325</v>
      </c>
      <c r="M104" s="11"/>
      <c r="N104" s="11"/>
      <c r="O104" s="11"/>
      <c r="P104" s="11">
        <v>139</v>
      </c>
      <c r="Q104" s="11"/>
      <c r="R104" s="11">
        <v>403</v>
      </c>
      <c r="S104" s="11"/>
      <c r="T104" s="11"/>
      <c r="U104" s="11"/>
      <c r="V104" s="11"/>
      <c r="W104" s="11"/>
      <c r="X104" s="11"/>
      <c r="Y104" s="11">
        <v>103</v>
      </c>
      <c r="Z104" s="11"/>
      <c r="AA104" s="11"/>
      <c r="AB104" s="11"/>
      <c r="AC104" s="11">
        <v>1284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>
        <v>482</v>
      </c>
      <c r="AO104" s="11"/>
      <c r="AP104" s="11">
        <v>405</v>
      </c>
      <c r="AQ104" s="11">
        <v>281</v>
      </c>
      <c r="AR104" s="11">
        <v>116</v>
      </c>
      <c r="AS104" s="11"/>
      <c r="AT104" s="11"/>
      <c r="AU104" s="20" t="str">
        <f>HYPERLINK("http://www.openstreetmap.org/?mlat=33.6361&amp;mlon=42.8367&amp;zoom=12#map=12/33.6361/42.8367","Maplink1")</f>
        <v>Maplink1</v>
      </c>
      <c r="AV104" s="20" t="str">
        <f>HYPERLINK("https://www.google.iq/maps/search/+33.6361,42.8367/@33.6361,42.8367,14z?hl=en","Maplink2")</f>
        <v>Maplink2</v>
      </c>
      <c r="AW104" s="20" t="str">
        <f>HYPERLINK("http://www.bing.com/maps/?lvl=14&amp;sty=h&amp;cp=33.6361~42.8367&amp;sp=point.33.6361_42.8367","Maplink3")</f>
        <v>Maplink3</v>
      </c>
    </row>
    <row r="105" spans="1:49" x14ac:dyDescent="0.25">
      <c r="A105" s="9">
        <v>21408</v>
      </c>
      <c r="B105" s="10" t="s">
        <v>8</v>
      </c>
      <c r="C105" s="10" t="s">
        <v>207</v>
      </c>
      <c r="D105" s="10" t="s">
        <v>1813</v>
      </c>
      <c r="E105" s="10" t="s">
        <v>215</v>
      </c>
      <c r="F105" s="10">
        <v>33.877760000000002</v>
      </c>
      <c r="G105" s="10">
        <v>42.529769999999999</v>
      </c>
      <c r="H105" s="11">
        <v>414</v>
      </c>
      <c r="I105" s="11">
        <v>2484</v>
      </c>
      <c r="J105" s="11"/>
      <c r="K105" s="11"/>
      <c r="L105" s="11">
        <v>182</v>
      </c>
      <c r="M105" s="11"/>
      <c r="N105" s="11"/>
      <c r="O105" s="11"/>
      <c r="P105" s="11">
        <v>158</v>
      </c>
      <c r="Q105" s="11"/>
      <c r="R105" s="11"/>
      <c r="S105" s="11"/>
      <c r="T105" s="11"/>
      <c r="U105" s="11"/>
      <c r="V105" s="11"/>
      <c r="W105" s="11"/>
      <c r="X105" s="11"/>
      <c r="Y105" s="11">
        <v>74</v>
      </c>
      <c r="Z105" s="11"/>
      <c r="AA105" s="11"/>
      <c r="AB105" s="11"/>
      <c r="AC105" s="11">
        <v>414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>
        <v>166</v>
      </c>
      <c r="AO105" s="11"/>
      <c r="AP105" s="11">
        <v>166</v>
      </c>
      <c r="AQ105" s="11">
        <v>82</v>
      </c>
      <c r="AR105" s="11"/>
      <c r="AS105" s="11"/>
      <c r="AT105" s="11"/>
      <c r="AU105" s="20" t="str">
        <f>HYPERLINK("http://www.openstreetmap.org/?mlat=33.8778&amp;mlon=42.5298&amp;zoom=12#map=12/33.8778/42.5298","Maplink1")</f>
        <v>Maplink1</v>
      </c>
      <c r="AV105" s="20" t="str">
        <f>HYPERLINK("https://www.google.iq/maps/search/+33.8778,42.5298/@33.8778,42.5298,14z?hl=en","Maplink2")</f>
        <v>Maplink2</v>
      </c>
      <c r="AW105" s="20" t="str">
        <f>HYPERLINK("http://www.bing.com/maps/?lvl=14&amp;sty=h&amp;cp=33.8778~42.5298&amp;sp=point.33.8778_42.5298","Maplink3")</f>
        <v>Maplink3</v>
      </c>
    </row>
    <row r="106" spans="1:49" x14ac:dyDescent="0.25">
      <c r="A106" s="9">
        <v>29537</v>
      </c>
      <c r="B106" s="10" t="s">
        <v>8</v>
      </c>
      <c r="C106" s="10" t="s">
        <v>207</v>
      </c>
      <c r="D106" s="10" t="s">
        <v>250</v>
      </c>
      <c r="E106" s="10" t="s">
        <v>251</v>
      </c>
      <c r="F106" s="10">
        <v>33.587470000000003</v>
      </c>
      <c r="G106" s="10">
        <v>42.608139000000001</v>
      </c>
      <c r="H106" s="11">
        <v>1142</v>
      </c>
      <c r="I106" s="11">
        <v>6852</v>
      </c>
      <c r="J106" s="11">
        <v>592</v>
      </c>
      <c r="K106" s="11"/>
      <c r="L106" s="11">
        <v>324</v>
      </c>
      <c r="M106" s="11"/>
      <c r="N106" s="11"/>
      <c r="O106" s="11"/>
      <c r="P106" s="11"/>
      <c r="Q106" s="11"/>
      <c r="R106" s="11">
        <v>79</v>
      </c>
      <c r="S106" s="11"/>
      <c r="T106" s="11"/>
      <c r="U106" s="11"/>
      <c r="V106" s="11"/>
      <c r="W106" s="11"/>
      <c r="X106" s="11"/>
      <c r="Y106" s="11">
        <v>147</v>
      </c>
      <c r="Z106" s="11"/>
      <c r="AA106" s="11"/>
      <c r="AB106" s="11"/>
      <c r="AC106" s="11">
        <v>1142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>
        <v>79</v>
      </c>
      <c r="AN106" s="11"/>
      <c r="AO106" s="11"/>
      <c r="AP106" s="11">
        <v>629</v>
      </c>
      <c r="AQ106" s="11">
        <v>434</v>
      </c>
      <c r="AR106" s="11"/>
      <c r="AS106" s="11"/>
      <c r="AT106" s="11"/>
      <c r="AU106" s="20" t="str">
        <f>HYPERLINK("http://www.openstreetmap.org/?mlat=33.5875&amp;mlon=42.6081&amp;zoom=12#map=12/33.5875/42.6081","Maplink1")</f>
        <v>Maplink1</v>
      </c>
      <c r="AV106" s="20" t="str">
        <f>HYPERLINK("https://www.google.iq/maps/search/+33.5875,42.6081/@33.5875,42.6081,14z?hl=en","Maplink2")</f>
        <v>Maplink2</v>
      </c>
      <c r="AW106" s="20" t="str">
        <f>HYPERLINK("http://www.bing.com/maps/?lvl=14&amp;sty=h&amp;cp=33.5875~42.6081&amp;sp=point.33.5875_42.6081","Maplink3")</f>
        <v>Maplink3</v>
      </c>
    </row>
    <row r="107" spans="1:49" x14ac:dyDescent="0.25">
      <c r="A107" s="9">
        <v>226</v>
      </c>
      <c r="B107" s="10" t="s">
        <v>8</v>
      </c>
      <c r="C107" s="10" t="s">
        <v>207</v>
      </c>
      <c r="D107" s="10" t="s">
        <v>252</v>
      </c>
      <c r="E107" s="10" t="s">
        <v>253</v>
      </c>
      <c r="F107" s="10">
        <v>33.593353999999998</v>
      </c>
      <c r="G107" s="10">
        <v>42.615312000000003</v>
      </c>
      <c r="H107" s="11">
        <v>999</v>
      </c>
      <c r="I107" s="11">
        <v>5994</v>
      </c>
      <c r="J107" s="11">
        <v>394</v>
      </c>
      <c r="K107" s="11"/>
      <c r="L107" s="11">
        <v>145</v>
      </c>
      <c r="M107" s="11"/>
      <c r="N107" s="11"/>
      <c r="O107" s="11"/>
      <c r="P107" s="11">
        <v>120</v>
      </c>
      <c r="Q107" s="11"/>
      <c r="R107" s="11">
        <v>279</v>
      </c>
      <c r="S107" s="11"/>
      <c r="T107" s="11"/>
      <c r="U107" s="11"/>
      <c r="V107" s="11"/>
      <c r="W107" s="11"/>
      <c r="X107" s="11"/>
      <c r="Y107" s="11">
        <v>61</v>
      </c>
      <c r="Z107" s="11"/>
      <c r="AA107" s="11"/>
      <c r="AB107" s="11"/>
      <c r="AC107" s="11">
        <v>999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>
        <v>61</v>
      </c>
      <c r="AN107" s="11">
        <v>265</v>
      </c>
      <c r="AO107" s="11"/>
      <c r="AP107" s="11">
        <v>497</v>
      </c>
      <c r="AQ107" s="11">
        <v>176</v>
      </c>
      <c r="AR107" s="11"/>
      <c r="AS107" s="11"/>
      <c r="AT107" s="11"/>
      <c r="AU107" s="20" t="str">
        <f>HYPERLINK("http://www.openstreetmap.org/?mlat=33.5934&amp;mlon=42.6153&amp;zoom=12#map=12/33.5934/42.6153","Maplink1")</f>
        <v>Maplink1</v>
      </c>
      <c r="AV107" s="20" t="str">
        <f>HYPERLINK("https://www.google.iq/maps/search/+33.5934,42.6153/@33.5934,42.6153,14z?hl=en","Maplink2")</f>
        <v>Maplink2</v>
      </c>
      <c r="AW107" s="20" t="str">
        <f>HYPERLINK("http://www.bing.com/maps/?lvl=14&amp;sty=h&amp;cp=33.5934~42.6153&amp;sp=point.33.5934_42.6153","Maplink3")</f>
        <v>Maplink3</v>
      </c>
    </row>
    <row r="108" spans="1:49" x14ac:dyDescent="0.25">
      <c r="A108" s="9">
        <v>53</v>
      </c>
      <c r="B108" s="10" t="s">
        <v>8</v>
      </c>
      <c r="C108" s="10" t="s">
        <v>207</v>
      </c>
      <c r="D108" s="10" t="s">
        <v>254</v>
      </c>
      <c r="E108" s="10" t="s">
        <v>255</v>
      </c>
      <c r="F108" s="10">
        <v>33.698059999999998</v>
      </c>
      <c r="G108" s="10">
        <v>42.746380000000002</v>
      </c>
      <c r="H108" s="11">
        <v>642</v>
      </c>
      <c r="I108" s="11">
        <v>3852</v>
      </c>
      <c r="J108" s="11">
        <v>258</v>
      </c>
      <c r="K108" s="11"/>
      <c r="L108" s="11">
        <v>292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>
        <v>92</v>
      </c>
      <c r="Z108" s="11"/>
      <c r="AA108" s="11"/>
      <c r="AB108" s="11"/>
      <c r="AC108" s="11">
        <v>642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>
        <v>187</v>
      </c>
      <c r="AN108" s="11">
        <v>197</v>
      </c>
      <c r="AO108" s="11"/>
      <c r="AP108" s="11">
        <v>177</v>
      </c>
      <c r="AQ108" s="11">
        <v>81</v>
      </c>
      <c r="AR108" s="11"/>
      <c r="AS108" s="11"/>
      <c r="AT108" s="11"/>
      <c r="AU108" s="20" t="str">
        <f>HYPERLINK("http://www.openstreetmap.org/?mlat=33.6981&amp;mlon=42.7464&amp;zoom=12#map=12/33.6981/42.7464","Maplink1")</f>
        <v>Maplink1</v>
      </c>
      <c r="AV108" s="20" t="str">
        <f>HYPERLINK("https://www.google.iq/maps/search/+33.6981,42.7464/@33.6981,42.7464,14z?hl=en","Maplink2")</f>
        <v>Maplink2</v>
      </c>
      <c r="AW108" s="20" t="str">
        <f>HYPERLINK("http://www.bing.com/maps/?lvl=14&amp;sty=h&amp;cp=33.6981~42.7464&amp;sp=point.33.6981_42.7464","Maplink3")</f>
        <v>Maplink3</v>
      </c>
    </row>
    <row r="109" spans="1:49" x14ac:dyDescent="0.25">
      <c r="A109" s="9">
        <v>41</v>
      </c>
      <c r="B109" s="10" t="s">
        <v>8</v>
      </c>
      <c r="C109" s="10" t="s">
        <v>207</v>
      </c>
      <c r="D109" s="10" t="s">
        <v>256</v>
      </c>
      <c r="E109" s="10" t="s">
        <v>257</v>
      </c>
      <c r="F109" s="10">
        <v>33.907415999999998</v>
      </c>
      <c r="G109" s="10">
        <v>42.544311999999998</v>
      </c>
      <c r="H109" s="11">
        <v>269</v>
      </c>
      <c r="I109" s="11">
        <v>1614</v>
      </c>
      <c r="J109" s="11"/>
      <c r="K109" s="11"/>
      <c r="L109" s="11">
        <v>142</v>
      </c>
      <c r="M109" s="11"/>
      <c r="N109" s="11"/>
      <c r="O109" s="11"/>
      <c r="P109" s="11">
        <v>68</v>
      </c>
      <c r="Q109" s="11"/>
      <c r="R109" s="11"/>
      <c r="S109" s="11"/>
      <c r="T109" s="11"/>
      <c r="U109" s="11"/>
      <c r="V109" s="11"/>
      <c r="W109" s="11"/>
      <c r="X109" s="11"/>
      <c r="Y109" s="11">
        <v>59</v>
      </c>
      <c r="Z109" s="11"/>
      <c r="AA109" s="11"/>
      <c r="AB109" s="11"/>
      <c r="AC109" s="11">
        <v>269</v>
      </c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v>201</v>
      </c>
      <c r="AQ109" s="11">
        <v>68</v>
      </c>
      <c r="AR109" s="11"/>
      <c r="AS109" s="11"/>
      <c r="AT109" s="11"/>
      <c r="AU109" s="20" t="str">
        <f>HYPERLINK("http://www.openstreetmap.org/?mlat=33.9074&amp;mlon=42.5443&amp;zoom=12#map=12/33.9074/42.5443","Maplink1")</f>
        <v>Maplink1</v>
      </c>
      <c r="AV109" s="20" t="str">
        <f>HYPERLINK("https://www.google.iq/maps/search/+33.9074,42.5443/@33.9074,42.5443,14z?hl=en","Maplink2")</f>
        <v>Maplink2</v>
      </c>
      <c r="AW109" s="20" t="str">
        <f>HYPERLINK("http://www.bing.com/maps/?lvl=14&amp;sty=h&amp;cp=33.9074~42.5443&amp;sp=point.33.9074_42.5443","Maplink3")</f>
        <v>Maplink3</v>
      </c>
    </row>
    <row r="110" spans="1:49" x14ac:dyDescent="0.25">
      <c r="A110" s="9">
        <v>23835</v>
      </c>
      <c r="B110" s="10" t="s">
        <v>8</v>
      </c>
      <c r="C110" s="10" t="s">
        <v>207</v>
      </c>
      <c r="D110" s="10" t="s">
        <v>258</v>
      </c>
      <c r="E110" s="10" t="s">
        <v>259</v>
      </c>
      <c r="F110" s="10">
        <v>33.594560000000001</v>
      </c>
      <c r="G110" s="10">
        <v>42.603610000000003</v>
      </c>
      <c r="H110" s="11">
        <v>310</v>
      </c>
      <c r="I110" s="11">
        <v>1860</v>
      </c>
      <c r="J110" s="11">
        <v>310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>
        <v>310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>
        <v>115</v>
      </c>
      <c r="AN110" s="11"/>
      <c r="AO110" s="11"/>
      <c r="AP110" s="11">
        <v>73</v>
      </c>
      <c r="AQ110" s="11"/>
      <c r="AR110" s="11">
        <v>122</v>
      </c>
      <c r="AS110" s="11"/>
      <c r="AT110" s="11"/>
      <c r="AU110" s="20" t="str">
        <f>HYPERLINK("http://www.openstreetmap.org/?mlat=33.5946&amp;mlon=42.6036&amp;zoom=12#map=12/33.5946/42.6036","Maplink1")</f>
        <v>Maplink1</v>
      </c>
      <c r="AV110" s="20" t="str">
        <f>HYPERLINK("https://www.google.iq/maps/search/+33.5946,42.6036/@33.5946,42.6036,14z?hl=en","Maplink2")</f>
        <v>Maplink2</v>
      </c>
      <c r="AW110" s="20" t="str">
        <f>HYPERLINK("http://www.bing.com/maps/?lvl=14&amp;sty=h&amp;cp=33.5946~42.6036&amp;sp=point.33.5946_42.6036","Maplink3")</f>
        <v>Maplink3</v>
      </c>
    </row>
    <row r="111" spans="1:49" x14ac:dyDescent="0.25">
      <c r="A111" s="9">
        <v>5</v>
      </c>
      <c r="B111" s="10" t="s">
        <v>8</v>
      </c>
      <c r="C111" s="10" t="s">
        <v>207</v>
      </c>
      <c r="D111" s="10" t="s">
        <v>260</v>
      </c>
      <c r="E111" s="10" t="s">
        <v>261</v>
      </c>
      <c r="F111" s="10">
        <v>33.594560000000001</v>
      </c>
      <c r="G111" s="10">
        <v>42.613239999999998</v>
      </c>
      <c r="H111" s="11">
        <v>1028</v>
      </c>
      <c r="I111" s="11">
        <v>6168</v>
      </c>
      <c r="J111" s="11">
        <v>581</v>
      </c>
      <c r="K111" s="11"/>
      <c r="L111" s="11"/>
      <c r="M111" s="11"/>
      <c r="N111" s="11"/>
      <c r="O111" s="11"/>
      <c r="P111" s="11">
        <v>118</v>
      </c>
      <c r="Q111" s="11"/>
      <c r="R111" s="11">
        <v>49</v>
      </c>
      <c r="S111" s="11"/>
      <c r="T111" s="11"/>
      <c r="U111" s="11"/>
      <c r="V111" s="11"/>
      <c r="W111" s="11"/>
      <c r="X111" s="11"/>
      <c r="Y111" s="11">
        <v>280</v>
      </c>
      <c r="Z111" s="11"/>
      <c r="AA111" s="11"/>
      <c r="AB111" s="11"/>
      <c r="AC111" s="11">
        <v>1028</v>
      </c>
      <c r="AD111" s="11"/>
      <c r="AE111" s="11"/>
      <c r="AF111" s="11"/>
      <c r="AG111" s="11"/>
      <c r="AH111" s="11"/>
      <c r="AI111" s="11"/>
      <c r="AJ111" s="11"/>
      <c r="AK111" s="11"/>
      <c r="AL111" s="11"/>
      <c r="AM111" s="11">
        <v>157</v>
      </c>
      <c r="AN111" s="11"/>
      <c r="AO111" s="11"/>
      <c r="AP111" s="11">
        <v>607</v>
      </c>
      <c r="AQ111" s="11">
        <v>49</v>
      </c>
      <c r="AR111" s="11">
        <v>215</v>
      </c>
      <c r="AS111" s="11"/>
      <c r="AT111" s="11"/>
      <c r="AU111" s="20" t="str">
        <f>HYPERLINK("http://www.openstreetmap.org/?mlat=33.5946&amp;mlon=42.6132&amp;zoom=12#map=12/33.5946/42.6132","Maplink1")</f>
        <v>Maplink1</v>
      </c>
      <c r="AV111" s="20" t="str">
        <f>HYPERLINK("https://www.google.iq/maps/search/+33.5946,42.6132/@33.5946,42.6132,14z?hl=en","Maplink2")</f>
        <v>Maplink2</v>
      </c>
      <c r="AW111" s="20" t="str">
        <f>HYPERLINK("http://www.bing.com/maps/?lvl=14&amp;sty=h&amp;cp=33.5946~42.6132&amp;sp=point.33.5946_42.6132","Maplink3")</f>
        <v>Maplink3</v>
      </c>
    </row>
    <row r="112" spans="1:49" x14ac:dyDescent="0.25">
      <c r="A112" s="9">
        <v>191</v>
      </c>
      <c r="B112" s="10" t="s">
        <v>8</v>
      </c>
      <c r="C112" s="10" t="s">
        <v>207</v>
      </c>
      <c r="D112" s="10" t="s">
        <v>262</v>
      </c>
      <c r="E112" s="10" t="s">
        <v>263</v>
      </c>
      <c r="F112" s="10">
        <v>33.642949999999999</v>
      </c>
      <c r="G112" s="10">
        <v>42.812649999999998</v>
      </c>
      <c r="H112" s="11">
        <v>1554</v>
      </c>
      <c r="I112" s="11">
        <v>9324</v>
      </c>
      <c r="J112" s="11">
        <v>586</v>
      </c>
      <c r="K112" s="11"/>
      <c r="L112" s="11">
        <v>442</v>
      </c>
      <c r="M112" s="11"/>
      <c r="N112" s="11"/>
      <c r="O112" s="11"/>
      <c r="P112" s="11">
        <v>308</v>
      </c>
      <c r="Q112" s="11"/>
      <c r="R112" s="11">
        <v>96</v>
      </c>
      <c r="S112" s="11"/>
      <c r="T112" s="11"/>
      <c r="U112" s="11"/>
      <c r="V112" s="11"/>
      <c r="W112" s="11"/>
      <c r="X112" s="11"/>
      <c r="Y112" s="11">
        <v>122</v>
      </c>
      <c r="Z112" s="11"/>
      <c r="AA112" s="11"/>
      <c r="AB112" s="11"/>
      <c r="AC112" s="11">
        <v>1378</v>
      </c>
      <c r="AD112" s="11"/>
      <c r="AE112" s="11"/>
      <c r="AF112" s="11"/>
      <c r="AG112" s="11"/>
      <c r="AH112" s="11"/>
      <c r="AI112" s="11">
        <v>176</v>
      </c>
      <c r="AJ112" s="11"/>
      <c r="AK112" s="11"/>
      <c r="AL112" s="11"/>
      <c r="AM112" s="11">
        <v>59</v>
      </c>
      <c r="AN112" s="11">
        <v>272</v>
      </c>
      <c r="AO112" s="11"/>
      <c r="AP112" s="11">
        <v>591</v>
      </c>
      <c r="AQ112" s="11">
        <v>484</v>
      </c>
      <c r="AR112" s="11">
        <v>148</v>
      </c>
      <c r="AS112" s="11"/>
      <c r="AT112" s="11"/>
      <c r="AU112" s="20" t="str">
        <f>HYPERLINK("http://www.openstreetmap.org/?mlat=33.6429&amp;mlon=42.8126&amp;zoom=12#map=12/33.6429/42.8126","Maplink1")</f>
        <v>Maplink1</v>
      </c>
      <c r="AV112" s="20" t="str">
        <f>HYPERLINK("https://www.google.iq/maps/search/+33.6429,42.8126/@33.6429,42.8126,14z?hl=en","Maplink2")</f>
        <v>Maplink2</v>
      </c>
      <c r="AW112" s="20" t="str">
        <f>HYPERLINK("http://www.bing.com/maps/?lvl=14&amp;sty=h&amp;cp=33.6429~42.8126&amp;sp=point.33.6429_42.8126","Maplink3")</f>
        <v>Maplink3</v>
      </c>
    </row>
    <row r="113" spans="1:49" x14ac:dyDescent="0.25">
      <c r="A113" s="9">
        <v>138</v>
      </c>
      <c r="B113" s="10" t="s">
        <v>8</v>
      </c>
      <c r="C113" s="10" t="s">
        <v>207</v>
      </c>
      <c r="D113" s="10" t="s">
        <v>264</v>
      </c>
      <c r="E113" s="10" t="s">
        <v>265</v>
      </c>
      <c r="F113" s="10">
        <v>33.541870000000003</v>
      </c>
      <c r="G113" s="10">
        <v>42.964359999999999</v>
      </c>
      <c r="H113" s="11">
        <v>361</v>
      </c>
      <c r="I113" s="11">
        <v>2166</v>
      </c>
      <c r="J113" s="11">
        <v>93</v>
      </c>
      <c r="K113" s="11"/>
      <c r="L113" s="11">
        <v>99</v>
      </c>
      <c r="M113" s="11"/>
      <c r="N113" s="11"/>
      <c r="O113" s="11"/>
      <c r="P113" s="11">
        <v>136</v>
      </c>
      <c r="Q113" s="11"/>
      <c r="R113" s="11"/>
      <c r="S113" s="11"/>
      <c r="T113" s="11"/>
      <c r="U113" s="11"/>
      <c r="V113" s="11"/>
      <c r="W113" s="11"/>
      <c r="X113" s="11"/>
      <c r="Y113" s="11">
        <v>33</v>
      </c>
      <c r="Z113" s="11"/>
      <c r="AA113" s="11"/>
      <c r="AB113" s="11"/>
      <c r="AC113" s="11">
        <v>361</v>
      </c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>
        <v>136</v>
      </c>
      <c r="AO113" s="11"/>
      <c r="AP113" s="11">
        <v>57</v>
      </c>
      <c r="AQ113" s="11">
        <v>168</v>
      </c>
      <c r="AR113" s="11"/>
      <c r="AS113" s="11"/>
      <c r="AT113" s="11"/>
      <c r="AU113" s="20" t="str">
        <f>HYPERLINK("http://www.openstreetmap.org/?mlat=33.5419&amp;mlon=42.9644&amp;zoom=12#map=12/33.5419/42.9644","Maplink1")</f>
        <v>Maplink1</v>
      </c>
      <c r="AV113" s="20" t="str">
        <f>HYPERLINK("https://www.google.iq/maps/search/+33.5419,42.9644/@33.5419,42.9644,14z?hl=en","Maplink2")</f>
        <v>Maplink2</v>
      </c>
      <c r="AW113" s="20" t="str">
        <f>HYPERLINK("http://www.bing.com/maps/?lvl=14&amp;sty=h&amp;cp=33.5419~42.9644&amp;sp=point.33.5419_42.9644","Maplink3")</f>
        <v>Maplink3</v>
      </c>
    </row>
    <row r="114" spans="1:49" x14ac:dyDescent="0.25">
      <c r="A114" s="9">
        <v>194</v>
      </c>
      <c r="B114" s="10" t="s">
        <v>8</v>
      </c>
      <c r="C114" s="10" t="s">
        <v>207</v>
      </c>
      <c r="D114" s="10" t="s">
        <v>266</v>
      </c>
      <c r="E114" s="10" t="s">
        <v>267</v>
      </c>
      <c r="F114" s="10">
        <v>33.631929999999997</v>
      </c>
      <c r="G114" s="10">
        <v>42.839619999999996</v>
      </c>
      <c r="H114" s="11">
        <v>1567</v>
      </c>
      <c r="I114" s="11">
        <v>9402</v>
      </c>
      <c r="J114" s="11">
        <v>301</v>
      </c>
      <c r="K114" s="11"/>
      <c r="L114" s="11">
        <v>419</v>
      </c>
      <c r="M114" s="11"/>
      <c r="N114" s="11"/>
      <c r="O114" s="11"/>
      <c r="P114" s="11">
        <v>220</v>
      </c>
      <c r="Q114" s="11"/>
      <c r="R114" s="11">
        <v>469</v>
      </c>
      <c r="S114" s="11"/>
      <c r="T114" s="11"/>
      <c r="U114" s="11"/>
      <c r="V114" s="11"/>
      <c r="W114" s="11"/>
      <c r="X114" s="11">
        <v>60</v>
      </c>
      <c r="Y114" s="11">
        <v>98</v>
      </c>
      <c r="Z114" s="11"/>
      <c r="AA114" s="11"/>
      <c r="AB114" s="11"/>
      <c r="AC114" s="11">
        <v>1567</v>
      </c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158</v>
      </c>
      <c r="AO114" s="11"/>
      <c r="AP114" s="11">
        <v>628</v>
      </c>
      <c r="AQ114" s="11">
        <v>595</v>
      </c>
      <c r="AR114" s="11">
        <v>186</v>
      </c>
      <c r="AS114" s="11"/>
      <c r="AT114" s="11"/>
      <c r="AU114" s="20" t="str">
        <f>HYPERLINK("http://www.openstreetmap.org/?mlat=33.6319&amp;mlon=42.8396&amp;zoom=12#map=12/33.6319/42.8396","Maplink1")</f>
        <v>Maplink1</v>
      </c>
      <c r="AV114" s="20" t="str">
        <f>HYPERLINK("https://www.google.iq/maps/search/+33.6319,42.8396/@33.6319,42.8396,14z?hl=en","Maplink2")</f>
        <v>Maplink2</v>
      </c>
      <c r="AW114" s="20" t="str">
        <f>HYPERLINK("http://www.bing.com/maps/?lvl=14&amp;sty=h&amp;cp=33.6319~42.8396&amp;sp=point.33.6319_42.8396","Maplink3")</f>
        <v>Maplink3</v>
      </c>
    </row>
    <row r="115" spans="1:49" x14ac:dyDescent="0.25">
      <c r="A115" s="9">
        <v>23848</v>
      </c>
      <c r="B115" s="10" t="s">
        <v>8</v>
      </c>
      <c r="C115" s="10" t="s">
        <v>207</v>
      </c>
      <c r="D115" s="10" t="s">
        <v>268</v>
      </c>
      <c r="E115" s="10" t="s">
        <v>269</v>
      </c>
      <c r="F115" s="10">
        <v>33.543667999999997</v>
      </c>
      <c r="G115" s="10">
        <v>42.932872000000003</v>
      </c>
      <c r="H115" s="11">
        <v>553</v>
      </c>
      <c r="I115" s="11">
        <v>3318</v>
      </c>
      <c r="J115" s="11"/>
      <c r="K115" s="11"/>
      <c r="L115" s="11">
        <v>175</v>
      </c>
      <c r="M115" s="11"/>
      <c r="N115" s="11"/>
      <c r="O115" s="11"/>
      <c r="P115" s="11">
        <v>90</v>
      </c>
      <c r="Q115" s="11"/>
      <c r="R115" s="11">
        <v>197</v>
      </c>
      <c r="S115" s="11"/>
      <c r="T115" s="11"/>
      <c r="U115" s="11"/>
      <c r="V115" s="11"/>
      <c r="W115" s="11"/>
      <c r="X115" s="11"/>
      <c r="Y115" s="11">
        <v>91</v>
      </c>
      <c r="Z115" s="11"/>
      <c r="AA115" s="11"/>
      <c r="AB115" s="11"/>
      <c r="AC115" s="11">
        <v>553</v>
      </c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>
        <v>90</v>
      </c>
      <c r="AO115" s="11"/>
      <c r="AP115" s="11">
        <v>288</v>
      </c>
      <c r="AQ115" s="11">
        <v>175</v>
      </c>
      <c r="AR115" s="11"/>
      <c r="AS115" s="11"/>
      <c r="AT115" s="11"/>
      <c r="AU115" s="20" t="str">
        <f>HYPERLINK("http://www.openstreetmap.org/?mlat=33.5437&amp;mlon=42.9329&amp;zoom=12#map=12/33.5437/42.9329","Maplink1")</f>
        <v>Maplink1</v>
      </c>
      <c r="AV115" s="20" t="str">
        <f>HYPERLINK("https://www.google.iq/maps/search/+33.5437,42.9329/@33.5437,42.9329,14z?hl=en","Maplink2")</f>
        <v>Maplink2</v>
      </c>
      <c r="AW115" s="20" t="str">
        <f>HYPERLINK("http://www.bing.com/maps/?lvl=14&amp;sty=h&amp;cp=33.5437~42.9329&amp;sp=point.33.5437_42.9329","Maplink3")</f>
        <v>Maplink3</v>
      </c>
    </row>
    <row r="116" spans="1:49" x14ac:dyDescent="0.25">
      <c r="A116" s="9">
        <v>308</v>
      </c>
      <c r="B116" s="10" t="s">
        <v>8</v>
      </c>
      <c r="C116" s="10" t="s">
        <v>270</v>
      </c>
      <c r="D116" s="10" t="s">
        <v>1814</v>
      </c>
      <c r="E116" s="10" t="s">
        <v>345</v>
      </c>
      <c r="F116" s="10">
        <v>33.421050000000001</v>
      </c>
      <c r="G116" s="10">
        <v>43.245719999999999</v>
      </c>
      <c r="H116" s="11">
        <v>1358</v>
      </c>
      <c r="I116" s="11">
        <v>8148</v>
      </c>
      <c r="J116" s="11">
        <v>574</v>
      </c>
      <c r="K116" s="11">
        <v>98</v>
      </c>
      <c r="L116" s="11">
        <v>157</v>
      </c>
      <c r="M116" s="11"/>
      <c r="N116" s="11"/>
      <c r="O116" s="11"/>
      <c r="P116" s="11">
        <v>188</v>
      </c>
      <c r="Q116" s="11"/>
      <c r="R116" s="11">
        <v>271</v>
      </c>
      <c r="S116" s="11"/>
      <c r="T116" s="11"/>
      <c r="U116" s="11"/>
      <c r="V116" s="11"/>
      <c r="W116" s="11"/>
      <c r="X116" s="11"/>
      <c r="Y116" s="11">
        <v>70</v>
      </c>
      <c r="Z116" s="11"/>
      <c r="AA116" s="11"/>
      <c r="AB116" s="11"/>
      <c r="AC116" s="11">
        <v>1239</v>
      </c>
      <c r="AD116" s="11"/>
      <c r="AE116" s="11"/>
      <c r="AF116" s="11"/>
      <c r="AG116" s="11"/>
      <c r="AH116" s="11"/>
      <c r="AI116" s="11">
        <v>119</v>
      </c>
      <c r="AJ116" s="11"/>
      <c r="AK116" s="11"/>
      <c r="AL116" s="11"/>
      <c r="AM116" s="11">
        <v>328</v>
      </c>
      <c r="AN116" s="11">
        <v>282</v>
      </c>
      <c r="AO116" s="11"/>
      <c r="AP116" s="11">
        <v>262</v>
      </c>
      <c r="AQ116" s="11">
        <v>486</v>
      </c>
      <c r="AR116" s="11"/>
      <c r="AS116" s="11"/>
      <c r="AT116" s="11"/>
      <c r="AU116" s="20" t="str">
        <f>HYPERLINK("http://www.openstreetmap.org/?mlat=33.4211&amp;mlon=43.2457&amp;zoom=12#map=12/33.4211/43.2457","Maplink1")</f>
        <v>Maplink1</v>
      </c>
      <c r="AV116" s="20" t="str">
        <f>HYPERLINK("https://www.google.iq/maps/search/+33.4211,43.2457/@33.4211,43.2457,14z?hl=en","Maplink2")</f>
        <v>Maplink2</v>
      </c>
      <c r="AW116" s="20" t="str">
        <f>HYPERLINK("http://www.bing.com/maps/?lvl=14&amp;sty=h&amp;cp=33.4211~43.2457&amp;sp=point.33.4211_43.2457","Maplink3")</f>
        <v>Maplink3</v>
      </c>
    </row>
    <row r="117" spans="1:49" x14ac:dyDescent="0.25">
      <c r="A117" s="9">
        <v>23889</v>
      </c>
      <c r="B117" s="10" t="s">
        <v>8</v>
      </c>
      <c r="C117" s="10" t="s">
        <v>270</v>
      </c>
      <c r="D117" s="10" t="s">
        <v>1815</v>
      </c>
      <c r="E117" s="10" t="s">
        <v>271</v>
      </c>
      <c r="F117" s="10">
        <v>33.414079999999998</v>
      </c>
      <c r="G117" s="10">
        <v>43.191429999999997</v>
      </c>
      <c r="H117" s="11">
        <v>512</v>
      </c>
      <c r="I117" s="11">
        <v>3072</v>
      </c>
      <c r="J117" s="11">
        <v>96</v>
      </c>
      <c r="K117" s="11"/>
      <c r="L117" s="11"/>
      <c r="M117" s="11"/>
      <c r="N117" s="11"/>
      <c r="O117" s="11"/>
      <c r="P117" s="11">
        <v>136</v>
      </c>
      <c r="Q117" s="11"/>
      <c r="R117" s="11">
        <v>280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>
        <v>512</v>
      </c>
      <c r="AD117" s="11"/>
      <c r="AE117" s="11"/>
      <c r="AF117" s="11"/>
      <c r="AG117" s="11"/>
      <c r="AH117" s="11"/>
      <c r="AI117" s="11"/>
      <c r="AJ117" s="11"/>
      <c r="AK117" s="11"/>
      <c r="AL117" s="11"/>
      <c r="AM117" s="11">
        <v>66</v>
      </c>
      <c r="AN117" s="11">
        <v>30</v>
      </c>
      <c r="AO117" s="11"/>
      <c r="AP117" s="11">
        <v>280</v>
      </c>
      <c r="AQ117" s="11">
        <v>136</v>
      </c>
      <c r="AR117" s="11"/>
      <c r="AS117" s="11"/>
      <c r="AT117" s="11"/>
      <c r="AU117" s="20" t="str">
        <f>HYPERLINK("http://www.openstreetmap.org/?mlat=33.4141&amp;mlon=43.1914&amp;zoom=12#map=12/33.4141/43.1914","Maplink1")</f>
        <v>Maplink1</v>
      </c>
      <c r="AV117" s="20" t="str">
        <f>HYPERLINK("https://www.google.iq/maps/search/+33.4141,43.1914/@33.4141,43.1914,14z?hl=en","Maplink2")</f>
        <v>Maplink2</v>
      </c>
      <c r="AW117" s="20" t="str">
        <f>HYPERLINK("http://www.bing.com/maps/?lvl=14&amp;sty=h&amp;cp=33.4141~43.1914&amp;sp=point.33.4141_43.1914","Maplink3")</f>
        <v>Maplink3</v>
      </c>
    </row>
    <row r="118" spans="1:49" x14ac:dyDescent="0.25">
      <c r="A118" s="9">
        <v>23858</v>
      </c>
      <c r="B118" s="10" t="s">
        <v>8</v>
      </c>
      <c r="C118" s="10" t="s">
        <v>270</v>
      </c>
      <c r="D118" s="10" t="s">
        <v>1816</v>
      </c>
      <c r="E118" s="10" t="s">
        <v>272</v>
      </c>
      <c r="F118" s="10">
        <v>33.392490000000002</v>
      </c>
      <c r="G118" s="10">
        <v>43.543039999999998</v>
      </c>
      <c r="H118" s="11">
        <v>378</v>
      </c>
      <c r="I118" s="11">
        <v>2268</v>
      </c>
      <c r="J118" s="11">
        <v>197</v>
      </c>
      <c r="K118" s="11"/>
      <c r="L118" s="11"/>
      <c r="M118" s="11"/>
      <c r="N118" s="11"/>
      <c r="O118" s="11"/>
      <c r="P118" s="11"/>
      <c r="Q118" s="11"/>
      <c r="R118" s="11">
        <v>114</v>
      </c>
      <c r="S118" s="11"/>
      <c r="T118" s="11"/>
      <c r="U118" s="11"/>
      <c r="V118" s="11"/>
      <c r="W118" s="11"/>
      <c r="X118" s="11"/>
      <c r="Y118" s="11">
        <v>67</v>
      </c>
      <c r="Z118" s="11"/>
      <c r="AA118" s="11"/>
      <c r="AB118" s="11"/>
      <c r="AC118" s="11">
        <v>378</v>
      </c>
      <c r="AD118" s="11"/>
      <c r="AE118" s="11"/>
      <c r="AF118" s="11"/>
      <c r="AG118" s="11"/>
      <c r="AH118" s="11"/>
      <c r="AI118" s="11"/>
      <c r="AJ118" s="11"/>
      <c r="AK118" s="11"/>
      <c r="AL118" s="11"/>
      <c r="AM118" s="11">
        <v>175</v>
      </c>
      <c r="AN118" s="11"/>
      <c r="AO118" s="11"/>
      <c r="AP118" s="11"/>
      <c r="AQ118" s="11">
        <v>126</v>
      </c>
      <c r="AR118" s="11">
        <v>77</v>
      </c>
      <c r="AS118" s="11"/>
      <c r="AT118" s="11"/>
      <c r="AU118" s="20" t="str">
        <f>HYPERLINK("http://www.openstreetmap.org/?mlat=33.3925&amp;mlon=43.543&amp;zoom=12#map=12/33.3925/43.543","Maplink1")</f>
        <v>Maplink1</v>
      </c>
      <c r="AV118" s="20" t="str">
        <f>HYPERLINK("https://www.google.iq/maps/search/+33.3925,43.543/@33.3925,43.543,14z?hl=en","Maplink2")</f>
        <v>Maplink2</v>
      </c>
      <c r="AW118" s="20" t="str">
        <f>HYPERLINK("http://www.bing.com/maps/?lvl=14&amp;sty=h&amp;cp=33.3925~43.543&amp;sp=point.33.3925_43.543","Maplink3")</f>
        <v>Maplink3</v>
      </c>
    </row>
    <row r="119" spans="1:49" x14ac:dyDescent="0.25">
      <c r="A119" s="9">
        <v>133</v>
      </c>
      <c r="B119" s="10" t="s">
        <v>8</v>
      </c>
      <c r="C119" s="10" t="s">
        <v>270</v>
      </c>
      <c r="D119" s="10" t="s">
        <v>273</v>
      </c>
      <c r="E119" s="10" t="s">
        <v>274</v>
      </c>
      <c r="F119" s="10">
        <v>33.414050000000003</v>
      </c>
      <c r="G119" s="10">
        <v>43.305489999999999</v>
      </c>
      <c r="H119" s="11">
        <v>1341</v>
      </c>
      <c r="I119" s="11">
        <v>8046</v>
      </c>
      <c r="J119" s="11">
        <v>574</v>
      </c>
      <c r="K119" s="11"/>
      <c r="L119" s="11">
        <v>92</v>
      </c>
      <c r="M119" s="11"/>
      <c r="N119" s="11"/>
      <c r="O119" s="11"/>
      <c r="P119" s="11">
        <v>165</v>
      </c>
      <c r="Q119" s="11"/>
      <c r="R119" s="11">
        <v>190</v>
      </c>
      <c r="S119" s="11"/>
      <c r="T119" s="11"/>
      <c r="U119" s="11"/>
      <c r="V119" s="11"/>
      <c r="W119" s="11"/>
      <c r="X119" s="11"/>
      <c r="Y119" s="11">
        <v>320</v>
      </c>
      <c r="Z119" s="11"/>
      <c r="AA119" s="11"/>
      <c r="AB119" s="11"/>
      <c r="AC119" s="11">
        <v>1341</v>
      </c>
      <c r="AD119" s="11"/>
      <c r="AE119" s="11"/>
      <c r="AF119" s="11"/>
      <c r="AG119" s="11"/>
      <c r="AH119" s="11"/>
      <c r="AI119" s="11"/>
      <c r="AJ119" s="11"/>
      <c r="AK119" s="11"/>
      <c r="AL119" s="11"/>
      <c r="AM119" s="11">
        <v>392</v>
      </c>
      <c r="AN119" s="11"/>
      <c r="AO119" s="11"/>
      <c r="AP119" s="11">
        <v>459</v>
      </c>
      <c r="AQ119" s="11">
        <v>490</v>
      </c>
      <c r="AR119" s="11"/>
      <c r="AS119" s="11"/>
      <c r="AT119" s="11"/>
      <c r="AU119" s="20" t="str">
        <f>HYPERLINK("http://www.openstreetmap.org/?mlat=33.4141&amp;mlon=43.3055&amp;zoom=12#map=12/33.4141/43.3055","Maplink1")</f>
        <v>Maplink1</v>
      </c>
      <c r="AV119" s="20" t="str">
        <f>HYPERLINK("https://www.google.iq/maps/search/+33.4141,43.3055/@33.4141,43.3055,14z?hl=en","Maplink2")</f>
        <v>Maplink2</v>
      </c>
      <c r="AW119" s="20" t="str">
        <f>HYPERLINK("http://www.bing.com/maps/?lvl=14&amp;sty=h&amp;cp=33.4141~43.3055&amp;sp=point.33.4141_43.3055","Maplink3")</f>
        <v>Maplink3</v>
      </c>
    </row>
    <row r="120" spans="1:49" x14ac:dyDescent="0.25">
      <c r="A120" s="9">
        <v>132</v>
      </c>
      <c r="B120" s="10" t="s">
        <v>8</v>
      </c>
      <c r="C120" s="10" t="s">
        <v>270</v>
      </c>
      <c r="D120" s="10" t="s">
        <v>275</v>
      </c>
      <c r="E120" s="10" t="s">
        <v>276</v>
      </c>
      <c r="F120" s="10">
        <v>33.417740000000002</v>
      </c>
      <c r="G120" s="10">
        <v>43.30545</v>
      </c>
      <c r="H120" s="11">
        <v>2118</v>
      </c>
      <c r="I120" s="11">
        <v>12708</v>
      </c>
      <c r="J120" s="11">
        <v>1734</v>
      </c>
      <c r="K120" s="11">
        <v>58</v>
      </c>
      <c r="L120" s="11">
        <v>98</v>
      </c>
      <c r="M120" s="11"/>
      <c r="N120" s="11"/>
      <c r="O120" s="11"/>
      <c r="P120" s="11">
        <v>158</v>
      </c>
      <c r="Q120" s="11"/>
      <c r="R120" s="11">
        <v>70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>
        <v>2118</v>
      </c>
      <c r="AD120" s="11"/>
      <c r="AE120" s="11"/>
      <c r="AF120" s="11"/>
      <c r="AG120" s="11"/>
      <c r="AH120" s="11"/>
      <c r="AI120" s="11"/>
      <c r="AJ120" s="11"/>
      <c r="AK120" s="11"/>
      <c r="AL120" s="11"/>
      <c r="AM120" s="11">
        <v>798</v>
      </c>
      <c r="AN120" s="11"/>
      <c r="AO120" s="11"/>
      <c r="AP120" s="11">
        <v>361</v>
      </c>
      <c r="AQ120" s="11">
        <v>959</v>
      </c>
      <c r="AR120" s="11"/>
      <c r="AS120" s="11"/>
      <c r="AT120" s="11"/>
      <c r="AU120" s="20" t="str">
        <f>HYPERLINK("http://www.openstreetmap.org/?mlat=33.4177&amp;mlon=43.3055&amp;zoom=12#map=12/33.4177/43.3055","Maplink1")</f>
        <v>Maplink1</v>
      </c>
      <c r="AV120" s="20" t="str">
        <f>HYPERLINK("https://www.google.iq/maps/search/+33.4177,43.3055/@33.4177,43.3055,14z?hl=en","Maplink2")</f>
        <v>Maplink2</v>
      </c>
      <c r="AW120" s="20" t="str">
        <f>HYPERLINK("http://www.bing.com/maps/?lvl=14&amp;sty=h&amp;cp=33.4177~43.3055&amp;sp=point.33.4177_43.3055","Maplink3")</f>
        <v>Maplink3</v>
      </c>
    </row>
    <row r="121" spans="1:49" x14ac:dyDescent="0.25">
      <c r="A121" s="9">
        <v>25650</v>
      </c>
      <c r="B121" s="10" t="s">
        <v>8</v>
      </c>
      <c r="C121" s="10" t="s">
        <v>270</v>
      </c>
      <c r="D121" s="10" t="s">
        <v>277</v>
      </c>
      <c r="E121" s="10" t="s">
        <v>278</v>
      </c>
      <c r="F121" s="10">
        <v>33.411586</v>
      </c>
      <c r="G121" s="10">
        <v>43.308807000000002</v>
      </c>
      <c r="H121" s="11">
        <v>1702</v>
      </c>
      <c r="I121" s="11">
        <v>10212</v>
      </c>
      <c r="J121" s="11">
        <v>952</v>
      </c>
      <c r="K121" s="11"/>
      <c r="L121" s="11">
        <v>635</v>
      </c>
      <c r="M121" s="11"/>
      <c r="N121" s="11"/>
      <c r="O121" s="11"/>
      <c r="P121" s="11"/>
      <c r="Q121" s="11"/>
      <c r="R121" s="11">
        <v>40</v>
      </c>
      <c r="S121" s="11"/>
      <c r="T121" s="11"/>
      <c r="U121" s="11"/>
      <c r="V121" s="11"/>
      <c r="W121" s="11"/>
      <c r="X121" s="11"/>
      <c r="Y121" s="11">
        <v>75</v>
      </c>
      <c r="Z121" s="11"/>
      <c r="AA121" s="11"/>
      <c r="AB121" s="11"/>
      <c r="AC121" s="11">
        <v>1434</v>
      </c>
      <c r="AD121" s="11"/>
      <c r="AE121" s="11"/>
      <c r="AF121" s="11"/>
      <c r="AG121" s="11"/>
      <c r="AH121" s="11"/>
      <c r="AI121" s="11">
        <v>268</v>
      </c>
      <c r="AJ121" s="11"/>
      <c r="AK121" s="11"/>
      <c r="AL121" s="11"/>
      <c r="AM121" s="11">
        <v>542</v>
      </c>
      <c r="AN121" s="11"/>
      <c r="AO121" s="11"/>
      <c r="AP121" s="11">
        <v>205</v>
      </c>
      <c r="AQ121" s="11">
        <v>721</v>
      </c>
      <c r="AR121" s="11">
        <v>234</v>
      </c>
      <c r="AS121" s="11"/>
      <c r="AT121" s="11"/>
      <c r="AU121" s="20" t="str">
        <f>HYPERLINK("http://www.openstreetmap.org/?mlat=33.4116&amp;mlon=43.3088&amp;zoom=12#map=12/33.4116/43.3088","Maplink1")</f>
        <v>Maplink1</v>
      </c>
      <c r="AV121" s="20" t="str">
        <f>HYPERLINK("https://www.google.iq/maps/search/+33.4116,43.3088/@33.4116,43.3088,14z?hl=en","Maplink2")</f>
        <v>Maplink2</v>
      </c>
      <c r="AW121" s="20" t="str">
        <f>HYPERLINK("http://www.bing.com/maps/?lvl=14&amp;sty=h&amp;cp=33.4116~43.3088&amp;sp=point.33.4116_43.3088","Maplink3")</f>
        <v>Maplink3</v>
      </c>
    </row>
    <row r="122" spans="1:49" x14ac:dyDescent="0.25">
      <c r="A122" s="9">
        <v>117</v>
      </c>
      <c r="B122" s="10" t="s">
        <v>8</v>
      </c>
      <c r="C122" s="10" t="s">
        <v>270</v>
      </c>
      <c r="D122" s="10" t="s">
        <v>279</v>
      </c>
      <c r="E122" s="10" t="s">
        <v>280</v>
      </c>
      <c r="F122" s="10">
        <v>33.42671</v>
      </c>
      <c r="G122" s="10">
        <v>43.295439999999999</v>
      </c>
      <c r="H122" s="11">
        <v>2080</v>
      </c>
      <c r="I122" s="11">
        <v>12480</v>
      </c>
      <c r="J122" s="11">
        <v>824</v>
      </c>
      <c r="K122" s="11"/>
      <c r="L122" s="11">
        <v>707</v>
      </c>
      <c r="M122" s="11"/>
      <c r="N122" s="11"/>
      <c r="O122" s="11"/>
      <c r="P122" s="11">
        <v>168</v>
      </c>
      <c r="Q122" s="11"/>
      <c r="R122" s="11">
        <v>304</v>
      </c>
      <c r="S122" s="11"/>
      <c r="T122" s="11"/>
      <c r="U122" s="11"/>
      <c r="V122" s="11"/>
      <c r="W122" s="11"/>
      <c r="X122" s="11"/>
      <c r="Y122" s="11">
        <v>77</v>
      </c>
      <c r="Z122" s="11"/>
      <c r="AA122" s="11"/>
      <c r="AB122" s="11"/>
      <c r="AC122" s="11">
        <v>2039</v>
      </c>
      <c r="AD122" s="11"/>
      <c r="AE122" s="11"/>
      <c r="AF122" s="11"/>
      <c r="AG122" s="11"/>
      <c r="AH122" s="11"/>
      <c r="AI122" s="11">
        <v>41</v>
      </c>
      <c r="AJ122" s="11"/>
      <c r="AK122" s="11"/>
      <c r="AL122" s="11"/>
      <c r="AM122" s="11">
        <v>221</v>
      </c>
      <c r="AN122" s="11">
        <v>134</v>
      </c>
      <c r="AO122" s="11"/>
      <c r="AP122" s="11">
        <v>201</v>
      </c>
      <c r="AQ122" s="11">
        <v>1524</v>
      </c>
      <c r="AR122" s="11"/>
      <c r="AS122" s="11"/>
      <c r="AT122" s="11"/>
      <c r="AU122" s="20" t="str">
        <f>HYPERLINK("http://www.openstreetmap.org/?mlat=33.4267&amp;mlon=43.2954&amp;zoom=12#map=12/33.4267/43.2954","Maplink1")</f>
        <v>Maplink1</v>
      </c>
      <c r="AV122" s="20" t="str">
        <f>HYPERLINK("https://www.google.iq/maps/search/+33.4267,43.2954/@33.4267,43.2954,14z?hl=en","Maplink2")</f>
        <v>Maplink2</v>
      </c>
      <c r="AW122" s="20" t="str">
        <f>HYPERLINK("http://www.bing.com/maps/?lvl=14&amp;sty=h&amp;cp=33.4267~43.2954&amp;sp=point.33.4267_43.2954","Maplink3")</f>
        <v>Maplink3</v>
      </c>
    </row>
    <row r="123" spans="1:49" x14ac:dyDescent="0.25">
      <c r="A123" s="9">
        <v>29579</v>
      </c>
      <c r="B123" s="10" t="s">
        <v>8</v>
      </c>
      <c r="C123" s="10" t="s">
        <v>270</v>
      </c>
      <c r="D123" s="10" t="s">
        <v>281</v>
      </c>
      <c r="E123" s="10" t="s">
        <v>282</v>
      </c>
      <c r="F123" s="10">
        <v>33.412959999999998</v>
      </c>
      <c r="G123" s="10">
        <v>43.323009999999996</v>
      </c>
      <c r="H123" s="11">
        <v>2294</v>
      </c>
      <c r="I123" s="11">
        <v>13764</v>
      </c>
      <c r="J123" s="11">
        <v>394</v>
      </c>
      <c r="K123" s="11"/>
      <c r="L123" s="11">
        <v>813</v>
      </c>
      <c r="M123" s="11"/>
      <c r="N123" s="11"/>
      <c r="O123" s="11"/>
      <c r="P123" s="11">
        <v>528</v>
      </c>
      <c r="Q123" s="11"/>
      <c r="R123" s="11">
        <v>559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>
        <v>2294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>
        <v>715</v>
      </c>
      <c r="AN123" s="11"/>
      <c r="AO123" s="11"/>
      <c r="AP123" s="11">
        <v>579</v>
      </c>
      <c r="AQ123" s="11">
        <v>800</v>
      </c>
      <c r="AR123" s="11">
        <v>200</v>
      </c>
      <c r="AS123" s="11"/>
      <c r="AT123" s="11"/>
      <c r="AU123" s="20" t="str">
        <f>HYPERLINK("http://www.openstreetmap.org/?mlat=33.413&amp;mlon=43.323&amp;zoom=12#map=12/33.413/43.323","Maplink1")</f>
        <v>Maplink1</v>
      </c>
      <c r="AV123" s="20" t="str">
        <f>HYPERLINK("https://www.google.iq/maps/search/+33.413,43.323/@33.413,43.323,14z?hl=en","Maplink2")</f>
        <v>Maplink2</v>
      </c>
      <c r="AW123" s="20" t="str">
        <f>HYPERLINK("http://www.bing.com/maps/?lvl=14&amp;sty=h&amp;cp=33.413~43.323&amp;sp=point.33.413_43.323","Maplink3")</f>
        <v>Maplink3</v>
      </c>
    </row>
    <row r="124" spans="1:49" x14ac:dyDescent="0.25">
      <c r="A124" s="9">
        <v>29580</v>
      </c>
      <c r="B124" s="10" t="s">
        <v>8</v>
      </c>
      <c r="C124" s="10" t="s">
        <v>270</v>
      </c>
      <c r="D124" s="10" t="s">
        <v>284</v>
      </c>
      <c r="E124" s="10" t="s">
        <v>285</v>
      </c>
      <c r="F124" s="10">
        <v>33.421889999999998</v>
      </c>
      <c r="G124" s="10">
        <v>43.290010000000002</v>
      </c>
      <c r="H124" s="11">
        <v>1973</v>
      </c>
      <c r="I124" s="11">
        <v>11838</v>
      </c>
      <c r="J124" s="11">
        <v>408</v>
      </c>
      <c r="K124" s="11">
        <v>251</v>
      </c>
      <c r="L124" s="11">
        <v>501</v>
      </c>
      <c r="M124" s="11"/>
      <c r="N124" s="11"/>
      <c r="O124" s="11"/>
      <c r="P124" s="11">
        <v>452</v>
      </c>
      <c r="Q124" s="11"/>
      <c r="R124" s="11"/>
      <c r="S124" s="11"/>
      <c r="T124" s="11"/>
      <c r="U124" s="11"/>
      <c r="V124" s="11"/>
      <c r="W124" s="11"/>
      <c r="X124" s="11"/>
      <c r="Y124" s="11">
        <v>361</v>
      </c>
      <c r="Z124" s="11"/>
      <c r="AA124" s="11"/>
      <c r="AB124" s="11"/>
      <c r="AC124" s="11">
        <v>1848</v>
      </c>
      <c r="AD124" s="11"/>
      <c r="AE124" s="11"/>
      <c r="AF124" s="11"/>
      <c r="AG124" s="11"/>
      <c r="AH124" s="11"/>
      <c r="AI124" s="11">
        <v>125</v>
      </c>
      <c r="AJ124" s="11"/>
      <c r="AK124" s="11"/>
      <c r="AL124" s="11"/>
      <c r="AM124" s="11">
        <v>273</v>
      </c>
      <c r="AN124" s="11">
        <v>187</v>
      </c>
      <c r="AO124" s="11"/>
      <c r="AP124" s="11">
        <v>626</v>
      </c>
      <c r="AQ124" s="11">
        <v>887</v>
      </c>
      <c r="AR124" s="11"/>
      <c r="AS124" s="11"/>
      <c r="AT124" s="11"/>
      <c r="AU124" s="20" t="str">
        <f>HYPERLINK("http://www.openstreetmap.org/?mlat=33.4219&amp;mlon=43.29&amp;zoom=12#map=12/33.4219/43.29","Maplink1")</f>
        <v>Maplink1</v>
      </c>
      <c r="AV124" s="20" t="str">
        <f>HYPERLINK("https://www.google.iq/maps/search/+33.4219,43.29/@33.4219,43.29,14z?hl=en","Maplink2")</f>
        <v>Maplink2</v>
      </c>
      <c r="AW124" s="20" t="str">
        <f>HYPERLINK("http://www.bing.com/maps/?lvl=14&amp;sty=h&amp;cp=33.4219~43.29&amp;sp=point.33.4219_43.29","Maplink3")</f>
        <v>Maplink3</v>
      </c>
    </row>
    <row r="125" spans="1:49" x14ac:dyDescent="0.25">
      <c r="A125" s="9">
        <v>311</v>
      </c>
      <c r="B125" s="10" t="s">
        <v>8</v>
      </c>
      <c r="C125" s="10" t="s">
        <v>270</v>
      </c>
      <c r="D125" s="10" t="s">
        <v>286</v>
      </c>
      <c r="E125" s="10" t="s">
        <v>287</v>
      </c>
      <c r="F125" s="10">
        <v>33.430529999999997</v>
      </c>
      <c r="G125" s="10">
        <v>43.292230000000004</v>
      </c>
      <c r="H125" s="11">
        <v>2346</v>
      </c>
      <c r="I125" s="11">
        <v>14076</v>
      </c>
      <c r="J125" s="11">
        <v>1476</v>
      </c>
      <c r="K125" s="11"/>
      <c r="L125" s="11">
        <v>305</v>
      </c>
      <c r="M125" s="11"/>
      <c r="N125" s="11"/>
      <c r="O125" s="11"/>
      <c r="P125" s="11"/>
      <c r="Q125" s="11"/>
      <c r="R125" s="11">
        <v>512</v>
      </c>
      <c r="S125" s="11"/>
      <c r="T125" s="11"/>
      <c r="U125" s="11"/>
      <c r="V125" s="11"/>
      <c r="W125" s="11"/>
      <c r="X125" s="11"/>
      <c r="Y125" s="11">
        <v>53</v>
      </c>
      <c r="Z125" s="11"/>
      <c r="AA125" s="11"/>
      <c r="AB125" s="11"/>
      <c r="AC125" s="11">
        <v>2293</v>
      </c>
      <c r="AD125" s="11"/>
      <c r="AE125" s="11"/>
      <c r="AF125" s="11"/>
      <c r="AG125" s="11"/>
      <c r="AH125" s="11"/>
      <c r="AI125" s="11">
        <v>53</v>
      </c>
      <c r="AJ125" s="11"/>
      <c r="AK125" s="11"/>
      <c r="AL125" s="11"/>
      <c r="AM125" s="11">
        <v>1237</v>
      </c>
      <c r="AN125" s="11">
        <v>351</v>
      </c>
      <c r="AO125" s="11"/>
      <c r="AP125" s="11">
        <v>441</v>
      </c>
      <c r="AQ125" s="11">
        <v>317</v>
      </c>
      <c r="AR125" s="11"/>
      <c r="AS125" s="11"/>
      <c r="AT125" s="11"/>
      <c r="AU125" s="20" t="str">
        <f>HYPERLINK("http://www.openstreetmap.org/?mlat=33.4305&amp;mlon=43.2922&amp;zoom=12#map=12/33.4305/43.2922","Maplink1")</f>
        <v>Maplink1</v>
      </c>
      <c r="AV125" s="20" t="str">
        <f>HYPERLINK("https://www.google.iq/maps/search/+33.4305,43.2922/@33.4305,43.2922,14z?hl=en","Maplink2")</f>
        <v>Maplink2</v>
      </c>
      <c r="AW125" s="20" t="str">
        <f>HYPERLINK("http://www.bing.com/maps/?lvl=14&amp;sty=h&amp;cp=33.4305~43.2922&amp;sp=point.33.4305_43.2922","Maplink3")</f>
        <v>Maplink3</v>
      </c>
    </row>
    <row r="126" spans="1:49" x14ac:dyDescent="0.25">
      <c r="A126" s="9">
        <v>25800</v>
      </c>
      <c r="B126" s="10" t="s">
        <v>8</v>
      </c>
      <c r="C126" s="10" t="s">
        <v>270</v>
      </c>
      <c r="D126" s="10" t="s">
        <v>288</v>
      </c>
      <c r="E126" s="10" t="s">
        <v>289</v>
      </c>
      <c r="F126" s="10">
        <v>33.429310000000001</v>
      </c>
      <c r="G126" s="10">
        <v>43.306041</v>
      </c>
      <c r="H126" s="11">
        <v>1876</v>
      </c>
      <c r="I126" s="11">
        <v>11256</v>
      </c>
      <c r="J126" s="11">
        <v>740</v>
      </c>
      <c r="K126" s="11"/>
      <c r="L126" s="11">
        <v>326</v>
      </c>
      <c r="M126" s="11"/>
      <c r="N126" s="11"/>
      <c r="O126" s="11"/>
      <c r="P126" s="11">
        <v>82</v>
      </c>
      <c r="Q126" s="11"/>
      <c r="R126" s="11">
        <v>516</v>
      </c>
      <c r="S126" s="11"/>
      <c r="T126" s="11"/>
      <c r="U126" s="11"/>
      <c r="V126" s="11"/>
      <c r="W126" s="11"/>
      <c r="X126" s="11">
        <v>90</v>
      </c>
      <c r="Y126" s="11">
        <v>122</v>
      </c>
      <c r="Z126" s="11"/>
      <c r="AA126" s="11"/>
      <c r="AB126" s="11"/>
      <c r="AC126" s="11">
        <v>1808</v>
      </c>
      <c r="AD126" s="11"/>
      <c r="AE126" s="11"/>
      <c r="AF126" s="11"/>
      <c r="AG126" s="11"/>
      <c r="AH126" s="11"/>
      <c r="AI126" s="11">
        <v>68</v>
      </c>
      <c r="AJ126" s="11"/>
      <c r="AK126" s="11"/>
      <c r="AL126" s="11"/>
      <c r="AM126" s="11">
        <v>956</v>
      </c>
      <c r="AN126" s="11">
        <v>314</v>
      </c>
      <c r="AO126" s="11"/>
      <c r="AP126" s="11">
        <v>390</v>
      </c>
      <c r="AQ126" s="11">
        <v>216</v>
      </c>
      <c r="AR126" s="11"/>
      <c r="AS126" s="11"/>
      <c r="AT126" s="11"/>
      <c r="AU126" s="20" t="str">
        <f>HYPERLINK("http://www.openstreetmap.org/?mlat=33.4293&amp;mlon=43.306&amp;zoom=12#map=12/33.4293/43.306","Maplink1")</f>
        <v>Maplink1</v>
      </c>
      <c r="AV126" s="20" t="str">
        <f>HYPERLINK("https://www.google.iq/maps/search/+33.4293,43.306/@33.4293,43.306,14z?hl=en","Maplink2")</f>
        <v>Maplink2</v>
      </c>
      <c r="AW126" s="20" t="str">
        <f>HYPERLINK("http://www.bing.com/maps/?lvl=14&amp;sty=h&amp;cp=33.4293~43.306&amp;sp=point.33.4293_43.306","Maplink3")</f>
        <v>Maplink3</v>
      </c>
    </row>
    <row r="127" spans="1:49" x14ac:dyDescent="0.25">
      <c r="A127" s="9">
        <v>24730</v>
      </c>
      <c r="B127" s="10" t="s">
        <v>8</v>
      </c>
      <c r="C127" s="10" t="s">
        <v>270</v>
      </c>
      <c r="D127" s="10" t="s">
        <v>290</v>
      </c>
      <c r="E127" s="10" t="s">
        <v>291</v>
      </c>
      <c r="F127" s="10">
        <v>33.387219999999999</v>
      </c>
      <c r="G127" s="10">
        <v>43.52422</v>
      </c>
      <c r="H127" s="11">
        <v>840</v>
      </c>
      <c r="I127" s="11">
        <v>5040</v>
      </c>
      <c r="J127" s="11">
        <v>157</v>
      </c>
      <c r="K127" s="11"/>
      <c r="L127" s="11">
        <v>286</v>
      </c>
      <c r="M127" s="11"/>
      <c r="N127" s="11"/>
      <c r="O127" s="11"/>
      <c r="P127" s="11">
        <v>200</v>
      </c>
      <c r="Q127" s="11"/>
      <c r="R127" s="11">
        <v>197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>
        <v>840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>
        <v>57</v>
      </c>
      <c r="AN127" s="11"/>
      <c r="AO127" s="11"/>
      <c r="AP127" s="11">
        <v>586</v>
      </c>
      <c r="AQ127" s="11">
        <v>97</v>
      </c>
      <c r="AR127" s="11">
        <v>100</v>
      </c>
      <c r="AS127" s="11"/>
      <c r="AT127" s="11"/>
      <c r="AU127" s="20" t="str">
        <f>HYPERLINK("http://www.openstreetmap.org/?mlat=33.3872&amp;mlon=43.5242&amp;zoom=12#map=12/33.3872/43.5242","Maplink1")</f>
        <v>Maplink1</v>
      </c>
      <c r="AV127" s="20" t="str">
        <f>HYPERLINK("https://www.google.iq/maps/search/+33.3872,43.5242/@33.3872,43.5242,14z?hl=en","Maplink2")</f>
        <v>Maplink2</v>
      </c>
      <c r="AW127" s="20" t="str">
        <f>HYPERLINK("http://www.bing.com/maps/?lvl=14&amp;sty=h&amp;cp=33.3872~43.5242&amp;sp=point.33.3872_43.5242","Maplink3")</f>
        <v>Maplink3</v>
      </c>
    </row>
    <row r="128" spans="1:49" x14ac:dyDescent="0.25">
      <c r="A128" s="9">
        <v>29581</v>
      </c>
      <c r="B128" s="10" t="s">
        <v>8</v>
      </c>
      <c r="C128" s="10" t="s">
        <v>270</v>
      </c>
      <c r="D128" s="10" t="s">
        <v>292</v>
      </c>
      <c r="E128" s="10" t="s">
        <v>293</v>
      </c>
      <c r="F128" s="10">
        <v>33.415472999999999</v>
      </c>
      <c r="G128" s="10">
        <v>43.220742000000001</v>
      </c>
      <c r="H128" s="11">
        <v>1657</v>
      </c>
      <c r="I128" s="11">
        <v>9942</v>
      </c>
      <c r="J128" s="11">
        <v>214</v>
      </c>
      <c r="K128" s="11"/>
      <c r="L128" s="11">
        <v>690</v>
      </c>
      <c r="M128" s="11"/>
      <c r="N128" s="11"/>
      <c r="O128" s="11"/>
      <c r="P128" s="11">
        <v>190</v>
      </c>
      <c r="Q128" s="11"/>
      <c r="R128" s="11">
        <v>374</v>
      </c>
      <c r="S128" s="11"/>
      <c r="T128" s="11"/>
      <c r="U128" s="11"/>
      <c r="V128" s="11"/>
      <c r="W128" s="11"/>
      <c r="X128" s="11"/>
      <c r="Y128" s="11">
        <v>189</v>
      </c>
      <c r="Z128" s="11"/>
      <c r="AA128" s="11"/>
      <c r="AB128" s="11"/>
      <c r="AC128" s="11">
        <v>1612</v>
      </c>
      <c r="AD128" s="11"/>
      <c r="AE128" s="11"/>
      <c r="AF128" s="11"/>
      <c r="AG128" s="11"/>
      <c r="AH128" s="11"/>
      <c r="AI128" s="11">
        <v>45</v>
      </c>
      <c r="AJ128" s="11"/>
      <c r="AK128" s="11"/>
      <c r="AL128" s="11"/>
      <c r="AM128" s="11">
        <v>235</v>
      </c>
      <c r="AN128" s="11">
        <v>329</v>
      </c>
      <c r="AO128" s="11"/>
      <c r="AP128" s="11">
        <v>537</v>
      </c>
      <c r="AQ128" s="11">
        <v>556</v>
      </c>
      <c r="AR128" s="11"/>
      <c r="AS128" s="11"/>
      <c r="AT128" s="11"/>
      <c r="AU128" s="20" t="str">
        <f>HYPERLINK("http://www.openstreetmap.org/?mlat=33.4155&amp;mlon=43.2207&amp;zoom=12#map=12/33.4155/43.2207","Maplink1")</f>
        <v>Maplink1</v>
      </c>
      <c r="AV128" s="20" t="str">
        <f>HYPERLINK("https://www.google.iq/maps/search/+33.4155,43.2207/@33.4155,43.2207,14z?hl=en","Maplink2")</f>
        <v>Maplink2</v>
      </c>
      <c r="AW128" s="20" t="str">
        <f>HYPERLINK("http://www.bing.com/maps/?lvl=14&amp;sty=h&amp;cp=33.4155~43.2207&amp;sp=point.33.4155_43.2207","Maplink3")</f>
        <v>Maplink3</v>
      </c>
    </row>
    <row r="129" spans="1:49" x14ac:dyDescent="0.25">
      <c r="A129" s="9">
        <v>25439</v>
      </c>
      <c r="B129" s="10" t="s">
        <v>8</v>
      </c>
      <c r="C129" s="10" t="s">
        <v>270</v>
      </c>
      <c r="D129" s="10" t="s">
        <v>295</v>
      </c>
      <c r="E129" s="10" t="s">
        <v>114</v>
      </c>
      <c r="F129" s="10">
        <v>33.405189999999997</v>
      </c>
      <c r="G129" s="10">
        <v>43.290385000000001</v>
      </c>
      <c r="H129" s="11">
        <v>530</v>
      </c>
      <c r="I129" s="11">
        <v>3180</v>
      </c>
      <c r="J129" s="11">
        <v>74</v>
      </c>
      <c r="K129" s="11"/>
      <c r="L129" s="11">
        <v>138</v>
      </c>
      <c r="M129" s="11"/>
      <c r="N129" s="11"/>
      <c r="O129" s="11"/>
      <c r="P129" s="11">
        <v>200</v>
      </c>
      <c r="Q129" s="11"/>
      <c r="R129" s="11">
        <v>118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>
        <v>530</v>
      </c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>
        <v>256</v>
      </c>
      <c r="AO129" s="11"/>
      <c r="AP129" s="11">
        <v>74</v>
      </c>
      <c r="AQ129" s="11">
        <v>200</v>
      </c>
      <c r="AR129" s="11"/>
      <c r="AS129" s="11"/>
      <c r="AT129" s="11"/>
      <c r="AU129" s="20" t="str">
        <f>HYPERLINK("http://www.openstreetmap.org/?mlat=33.4052&amp;mlon=43.2904&amp;zoom=12#map=12/33.4052/43.2904","Maplink1")</f>
        <v>Maplink1</v>
      </c>
      <c r="AV129" s="20" t="str">
        <f>HYPERLINK("https://www.google.iq/maps/search/+33.4052,43.2904/@33.4052,43.2904,14z?hl=en","Maplink2")</f>
        <v>Maplink2</v>
      </c>
      <c r="AW129" s="20" t="str">
        <f>HYPERLINK("http://www.bing.com/maps/?lvl=14&amp;sty=h&amp;cp=33.4052~43.2904&amp;sp=point.33.4052_43.2904","Maplink3")</f>
        <v>Maplink3</v>
      </c>
    </row>
    <row r="130" spans="1:49" x14ac:dyDescent="0.25">
      <c r="A130" s="9">
        <v>25440</v>
      </c>
      <c r="B130" s="10" t="s">
        <v>8</v>
      </c>
      <c r="C130" s="10" t="s">
        <v>270</v>
      </c>
      <c r="D130" s="10" t="s">
        <v>296</v>
      </c>
      <c r="E130" s="10" t="s">
        <v>297</v>
      </c>
      <c r="F130" s="10">
        <v>33.438929999999999</v>
      </c>
      <c r="G130" s="10">
        <v>43.38447</v>
      </c>
      <c r="H130" s="11">
        <v>1781</v>
      </c>
      <c r="I130" s="11">
        <v>10686</v>
      </c>
      <c r="J130" s="11">
        <v>390</v>
      </c>
      <c r="K130" s="11"/>
      <c r="L130" s="11">
        <v>763</v>
      </c>
      <c r="M130" s="11"/>
      <c r="N130" s="11"/>
      <c r="O130" s="11"/>
      <c r="P130" s="11">
        <v>217</v>
      </c>
      <c r="Q130" s="11"/>
      <c r="R130" s="11">
        <v>411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>
        <v>1641</v>
      </c>
      <c r="AD130" s="11"/>
      <c r="AE130" s="11"/>
      <c r="AF130" s="11"/>
      <c r="AG130" s="11"/>
      <c r="AH130" s="11"/>
      <c r="AI130" s="11">
        <v>140</v>
      </c>
      <c r="AJ130" s="11"/>
      <c r="AK130" s="11"/>
      <c r="AL130" s="11"/>
      <c r="AM130" s="11">
        <v>333</v>
      </c>
      <c r="AN130" s="11">
        <v>213</v>
      </c>
      <c r="AO130" s="11"/>
      <c r="AP130" s="11">
        <v>572</v>
      </c>
      <c r="AQ130" s="11">
        <v>663</v>
      </c>
      <c r="AR130" s="11"/>
      <c r="AS130" s="11"/>
      <c r="AT130" s="11"/>
      <c r="AU130" s="20" t="str">
        <f>HYPERLINK("http://www.openstreetmap.org/?mlat=33.4389&amp;mlon=43.3845&amp;zoom=12#map=12/33.4389/43.3845","Maplink1")</f>
        <v>Maplink1</v>
      </c>
      <c r="AV130" s="20" t="str">
        <f>HYPERLINK("https://www.google.iq/maps/search/+33.4389,43.3845/@33.4389,43.3845,14z?hl=en","Maplink2")</f>
        <v>Maplink2</v>
      </c>
      <c r="AW130" s="20" t="str">
        <f>HYPERLINK("http://www.bing.com/maps/?lvl=14&amp;sty=h&amp;cp=33.4389~43.3845&amp;sp=point.33.4389_43.3845","Maplink3")</f>
        <v>Maplink3</v>
      </c>
    </row>
    <row r="131" spans="1:49" x14ac:dyDescent="0.25">
      <c r="A131" s="9">
        <v>29534</v>
      </c>
      <c r="B131" s="10" t="s">
        <v>8</v>
      </c>
      <c r="C131" s="10" t="s">
        <v>270</v>
      </c>
      <c r="D131" s="10" t="s">
        <v>298</v>
      </c>
      <c r="E131" s="10" t="s">
        <v>299</v>
      </c>
      <c r="F131" s="10">
        <v>33.431789999999999</v>
      </c>
      <c r="G131" s="10">
        <v>43.281350000000003</v>
      </c>
      <c r="H131" s="11">
        <v>1601</v>
      </c>
      <c r="I131" s="11">
        <v>9606</v>
      </c>
      <c r="J131" s="11">
        <v>888</v>
      </c>
      <c r="K131" s="11">
        <v>336</v>
      </c>
      <c r="L131" s="11">
        <v>314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>
        <v>63</v>
      </c>
      <c r="Z131" s="11"/>
      <c r="AA131" s="11"/>
      <c r="AB131" s="11"/>
      <c r="AC131" s="11">
        <v>1519</v>
      </c>
      <c r="AD131" s="11"/>
      <c r="AE131" s="11"/>
      <c r="AF131" s="11"/>
      <c r="AG131" s="11"/>
      <c r="AH131" s="11"/>
      <c r="AI131" s="11">
        <v>82</v>
      </c>
      <c r="AJ131" s="11"/>
      <c r="AK131" s="11"/>
      <c r="AL131" s="11"/>
      <c r="AM131" s="11">
        <v>401</v>
      </c>
      <c r="AN131" s="11">
        <v>63</v>
      </c>
      <c r="AO131" s="11"/>
      <c r="AP131" s="11">
        <v>717</v>
      </c>
      <c r="AQ131" s="11">
        <v>420</v>
      </c>
      <c r="AR131" s="11"/>
      <c r="AS131" s="11"/>
      <c r="AT131" s="11"/>
      <c r="AU131" s="20" t="str">
        <f>HYPERLINK("http://www.openstreetmap.org/?mlat=33.4318&amp;mlon=43.2814&amp;zoom=12#map=12/33.4318/43.2814","Maplink1")</f>
        <v>Maplink1</v>
      </c>
      <c r="AV131" s="20" t="str">
        <f>HYPERLINK("https://www.google.iq/maps/search/+33.4318,43.2814/@33.4318,43.2814,14z?hl=en","Maplink2")</f>
        <v>Maplink2</v>
      </c>
      <c r="AW131" s="20" t="str">
        <f>HYPERLINK("http://www.bing.com/maps/?lvl=14&amp;sty=h&amp;cp=33.4318~43.2814&amp;sp=point.33.4318_43.2814","Maplink3")</f>
        <v>Maplink3</v>
      </c>
    </row>
    <row r="132" spans="1:49" x14ac:dyDescent="0.25">
      <c r="A132" s="9">
        <v>25442</v>
      </c>
      <c r="B132" s="10" t="s">
        <v>8</v>
      </c>
      <c r="C132" s="10" t="s">
        <v>270</v>
      </c>
      <c r="D132" s="10" t="s">
        <v>300</v>
      </c>
      <c r="E132" s="10" t="s">
        <v>301</v>
      </c>
      <c r="F132" s="10">
        <v>33.41628</v>
      </c>
      <c r="G132" s="10">
        <v>43.269570000000002</v>
      </c>
      <c r="H132" s="11">
        <v>869</v>
      </c>
      <c r="I132" s="11">
        <v>5214</v>
      </c>
      <c r="J132" s="11">
        <v>235</v>
      </c>
      <c r="K132" s="11"/>
      <c r="L132" s="11">
        <v>245</v>
      </c>
      <c r="M132" s="11"/>
      <c r="N132" s="11"/>
      <c r="O132" s="11"/>
      <c r="P132" s="11">
        <v>389</v>
      </c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>
        <v>772</v>
      </c>
      <c r="AD132" s="11"/>
      <c r="AE132" s="11"/>
      <c r="AF132" s="11"/>
      <c r="AG132" s="11"/>
      <c r="AH132" s="11"/>
      <c r="AI132" s="11">
        <v>97</v>
      </c>
      <c r="AJ132" s="11"/>
      <c r="AK132" s="11"/>
      <c r="AL132" s="11"/>
      <c r="AM132" s="11">
        <v>235</v>
      </c>
      <c r="AN132" s="11"/>
      <c r="AO132" s="11"/>
      <c r="AP132" s="11">
        <v>209</v>
      </c>
      <c r="AQ132" s="11">
        <v>425</v>
      </c>
      <c r="AR132" s="11"/>
      <c r="AS132" s="11"/>
      <c r="AT132" s="11"/>
      <c r="AU132" s="20" t="str">
        <f>HYPERLINK("http://www.openstreetmap.org/?mlat=33.4163&amp;mlon=43.2696&amp;zoom=12#map=12/33.4163/43.2696","Maplink1")</f>
        <v>Maplink1</v>
      </c>
      <c r="AV132" s="20" t="str">
        <f>HYPERLINK("https://www.google.iq/maps/search/+33.4163,43.2696/@33.4163,43.2696,14z?hl=en","Maplink2")</f>
        <v>Maplink2</v>
      </c>
      <c r="AW132" s="20" t="str">
        <f>HYPERLINK("http://www.bing.com/maps/?lvl=14&amp;sty=h&amp;cp=33.4163~43.2696&amp;sp=point.33.4163_43.2696","Maplink3")</f>
        <v>Maplink3</v>
      </c>
    </row>
    <row r="133" spans="1:49" x14ac:dyDescent="0.25">
      <c r="A133" s="9">
        <v>115</v>
      </c>
      <c r="B133" s="10" t="s">
        <v>8</v>
      </c>
      <c r="C133" s="10" t="s">
        <v>270</v>
      </c>
      <c r="D133" s="10" t="s">
        <v>1817</v>
      </c>
      <c r="E133" s="10" t="s">
        <v>302</v>
      </c>
      <c r="F133" s="10">
        <v>33.436459999999997</v>
      </c>
      <c r="G133" s="10">
        <v>43.323009999999996</v>
      </c>
      <c r="H133" s="11">
        <v>1804</v>
      </c>
      <c r="I133" s="11">
        <v>10824</v>
      </c>
      <c r="J133" s="11">
        <v>881</v>
      </c>
      <c r="K133" s="11"/>
      <c r="L133" s="11">
        <v>214</v>
      </c>
      <c r="M133" s="11"/>
      <c r="N133" s="11"/>
      <c r="O133" s="11"/>
      <c r="P133" s="11">
        <v>242</v>
      </c>
      <c r="Q133" s="11"/>
      <c r="R133" s="11">
        <v>288</v>
      </c>
      <c r="S133" s="11"/>
      <c r="T133" s="11"/>
      <c r="U133" s="11"/>
      <c r="V133" s="11"/>
      <c r="W133" s="11"/>
      <c r="X133" s="11"/>
      <c r="Y133" s="11">
        <v>179</v>
      </c>
      <c r="Z133" s="11"/>
      <c r="AA133" s="11"/>
      <c r="AB133" s="11"/>
      <c r="AC133" s="11">
        <v>1641</v>
      </c>
      <c r="AD133" s="11"/>
      <c r="AE133" s="11"/>
      <c r="AF133" s="11"/>
      <c r="AG133" s="11"/>
      <c r="AH133" s="11"/>
      <c r="AI133" s="11">
        <v>163</v>
      </c>
      <c r="AJ133" s="11"/>
      <c r="AK133" s="11"/>
      <c r="AL133" s="11"/>
      <c r="AM133" s="11">
        <v>313</v>
      </c>
      <c r="AN133" s="11">
        <v>232</v>
      </c>
      <c r="AO133" s="11"/>
      <c r="AP133" s="11">
        <v>396</v>
      </c>
      <c r="AQ133" s="11">
        <v>836</v>
      </c>
      <c r="AR133" s="11">
        <v>27</v>
      </c>
      <c r="AS133" s="11"/>
      <c r="AT133" s="11"/>
      <c r="AU133" s="20" t="str">
        <f>HYPERLINK("http://www.openstreetmap.org/?mlat=33.4365&amp;mlon=43.323&amp;zoom=12#map=12/33.4365/43.323","Maplink1")</f>
        <v>Maplink1</v>
      </c>
      <c r="AV133" s="20" t="str">
        <f>HYPERLINK("https://www.google.iq/maps/search/+33.4365,43.323/@33.4365,43.323,14z?hl=en","Maplink2")</f>
        <v>Maplink2</v>
      </c>
      <c r="AW133" s="20" t="str">
        <f>HYPERLINK("http://www.bing.com/maps/?lvl=14&amp;sty=h&amp;cp=33.4365~43.323&amp;sp=point.33.4365_43.323","Maplink3")</f>
        <v>Maplink3</v>
      </c>
    </row>
    <row r="134" spans="1:49" x14ac:dyDescent="0.25">
      <c r="A134" s="9">
        <v>25441</v>
      </c>
      <c r="B134" s="10" t="s">
        <v>8</v>
      </c>
      <c r="C134" s="10" t="s">
        <v>270</v>
      </c>
      <c r="D134" s="10" t="s">
        <v>303</v>
      </c>
      <c r="E134" s="10" t="s">
        <v>304</v>
      </c>
      <c r="F134" s="10">
        <v>33.433909999999997</v>
      </c>
      <c r="G134" s="10">
        <v>43.356270000000002</v>
      </c>
      <c r="H134" s="11">
        <v>1634</v>
      </c>
      <c r="I134" s="11">
        <v>9804</v>
      </c>
      <c r="J134" s="11">
        <v>696</v>
      </c>
      <c r="K134" s="11"/>
      <c r="L134" s="11">
        <v>362</v>
      </c>
      <c r="M134" s="11"/>
      <c r="N134" s="11"/>
      <c r="O134" s="11"/>
      <c r="P134" s="11">
        <v>256</v>
      </c>
      <c r="Q134" s="11"/>
      <c r="R134" s="11">
        <v>320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>
        <v>1449</v>
      </c>
      <c r="AD134" s="11"/>
      <c r="AE134" s="11"/>
      <c r="AF134" s="11"/>
      <c r="AG134" s="11"/>
      <c r="AH134" s="11"/>
      <c r="AI134" s="11">
        <v>185</v>
      </c>
      <c r="AJ134" s="11"/>
      <c r="AK134" s="11"/>
      <c r="AL134" s="11"/>
      <c r="AM134" s="11">
        <v>409</v>
      </c>
      <c r="AN134" s="11">
        <v>649</v>
      </c>
      <c r="AO134" s="11"/>
      <c r="AP134" s="11">
        <v>185</v>
      </c>
      <c r="AQ134" s="11">
        <v>391</v>
      </c>
      <c r="AR134" s="11"/>
      <c r="AS134" s="11"/>
      <c r="AT134" s="11"/>
      <c r="AU134" s="20" t="str">
        <f>HYPERLINK("http://www.openstreetmap.org/?mlat=33.4339&amp;mlon=43.3563&amp;zoom=12#map=12/33.4339/43.3563","Maplink1")</f>
        <v>Maplink1</v>
      </c>
      <c r="AV134" s="20" t="str">
        <f>HYPERLINK("https://www.google.iq/maps/search/+33.4339,43.3563/@33.4339,43.3563,14z?hl=en","Maplink2")</f>
        <v>Maplink2</v>
      </c>
      <c r="AW134" s="20" t="str">
        <f>HYPERLINK("http://www.bing.com/maps/?lvl=14&amp;sty=h&amp;cp=33.4339~43.3563&amp;sp=point.33.4339_43.3563","Maplink3")</f>
        <v>Maplink3</v>
      </c>
    </row>
    <row r="135" spans="1:49" x14ac:dyDescent="0.25">
      <c r="A135" s="9">
        <v>24729</v>
      </c>
      <c r="B135" s="10" t="s">
        <v>8</v>
      </c>
      <c r="C135" s="10" t="s">
        <v>270</v>
      </c>
      <c r="D135" s="10" t="s">
        <v>1818</v>
      </c>
      <c r="E135" s="10" t="s">
        <v>305</v>
      </c>
      <c r="F135" s="10">
        <v>33.38852</v>
      </c>
      <c r="G135" s="10">
        <v>43.517290000000003</v>
      </c>
      <c r="H135" s="11">
        <v>580</v>
      </c>
      <c r="I135" s="11">
        <v>3480</v>
      </c>
      <c r="J135" s="11">
        <v>354</v>
      </c>
      <c r="K135" s="11"/>
      <c r="L135" s="11">
        <v>89</v>
      </c>
      <c r="M135" s="11"/>
      <c r="N135" s="11"/>
      <c r="O135" s="11"/>
      <c r="P135" s="11">
        <v>87</v>
      </c>
      <c r="Q135" s="11"/>
      <c r="R135" s="11">
        <v>50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>
        <v>580</v>
      </c>
      <c r="AD135" s="11"/>
      <c r="AE135" s="11"/>
      <c r="AF135" s="11"/>
      <c r="AG135" s="11"/>
      <c r="AH135" s="11"/>
      <c r="AI135" s="11"/>
      <c r="AJ135" s="11"/>
      <c r="AK135" s="11"/>
      <c r="AL135" s="11"/>
      <c r="AM135" s="11">
        <v>50</v>
      </c>
      <c r="AN135" s="11"/>
      <c r="AO135" s="11"/>
      <c r="AP135" s="11">
        <v>276</v>
      </c>
      <c r="AQ135" s="11">
        <v>204</v>
      </c>
      <c r="AR135" s="11">
        <v>50</v>
      </c>
      <c r="AS135" s="11"/>
      <c r="AT135" s="11"/>
      <c r="AU135" s="20" t="str">
        <f>HYPERLINK("http://www.openstreetmap.org/?mlat=33.3885&amp;mlon=43.5173&amp;zoom=12#map=12/33.3885/43.5173","Maplink1")</f>
        <v>Maplink1</v>
      </c>
      <c r="AV135" s="20" t="str">
        <f>HYPERLINK("https://www.google.iq/maps/search/+33.3885,43.5173/@33.3885,43.5173,14z?hl=en","Maplink2")</f>
        <v>Maplink2</v>
      </c>
      <c r="AW135" s="20" t="str">
        <f>HYPERLINK("http://www.bing.com/maps/?lvl=14&amp;sty=h&amp;cp=33.3885~43.5173&amp;sp=point.33.3885_43.5173","Maplink3")</f>
        <v>Maplink3</v>
      </c>
    </row>
    <row r="136" spans="1:49" x14ac:dyDescent="0.25">
      <c r="A136" s="9">
        <v>21403</v>
      </c>
      <c r="B136" s="10" t="s">
        <v>8</v>
      </c>
      <c r="C136" s="10" t="s">
        <v>270</v>
      </c>
      <c r="D136" s="10" t="s">
        <v>306</v>
      </c>
      <c r="E136" s="10" t="s">
        <v>307</v>
      </c>
      <c r="F136" s="10">
        <v>33.425559999999997</v>
      </c>
      <c r="G136" s="10">
        <v>43.338079999999998</v>
      </c>
      <c r="H136" s="11">
        <v>1814</v>
      </c>
      <c r="I136" s="11">
        <v>10884</v>
      </c>
      <c r="J136" s="11">
        <v>689</v>
      </c>
      <c r="K136" s="11"/>
      <c r="L136" s="11">
        <v>700</v>
      </c>
      <c r="M136" s="11"/>
      <c r="N136" s="11"/>
      <c r="O136" s="11"/>
      <c r="P136" s="11">
        <v>226</v>
      </c>
      <c r="Q136" s="11"/>
      <c r="R136" s="11"/>
      <c r="S136" s="11"/>
      <c r="T136" s="11"/>
      <c r="U136" s="11"/>
      <c r="V136" s="11"/>
      <c r="W136" s="11"/>
      <c r="X136" s="11"/>
      <c r="Y136" s="11">
        <v>199</v>
      </c>
      <c r="Z136" s="11"/>
      <c r="AA136" s="11"/>
      <c r="AB136" s="11"/>
      <c r="AC136" s="11">
        <v>1777</v>
      </c>
      <c r="AD136" s="11"/>
      <c r="AE136" s="11"/>
      <c r="AF136" s="11"/>
      <c r="AG136" s="11"/>
      <c r="AH136" s="11"/>
      <c r="AI136" s="11">
        <v>37</v>
      </c>
      <c r="AJ136" s="11"/>
      <c r="AK136" s="11"/>
      <c r="AL136" s="11"/>
      <c r="AM136" s="11">
        <v>37</v>
      </c>
      <c r="AN136" s="11">
        <v>199</v>
      </c>
      <c r="AO136" s="11"/>
      <c r="AP136" s="11">
        <v>850</v>
      </c>
      <c r="AQ136" s="11">
        <v>335</v>
      </c>
      <c r="AR136" s="11">
        <v>393</v>
      </c>
      <c r="AS136" s="11"/>
      <c r="AT136" s="11"/>
      <c r="AU136" s="20" t="str">
        <f>HYPERLINK("http://www.openstreetmap.org/?mlat=33.4256&amp;mlon=43.3381&amp;zoom=12#map=12/33.4256/43.3381","Maplink1")</f>
        <v>Maplink1</v>
      </c>
      <c r="AV136" s="20" t="str">
        <f>HYPERLINK("https://www.google.iq/maps/search/+33.4256,43.3381/@33.4256,43.3381,14z?hl=en","Maplink2")</f>
        <v>Maplink2</v>
      </c>
      <c r="AW136" s="20" t="str">
        <f>HYPERLINK("http://www.bing.com/maps/?lvl=14&amp;sty=h&amp;cp=33.4256~43.3381&amp;sp=point.33.4256_43.3381","Maplink3")</f>
        <v>Maplink3</v>
      </c>
    </row>
    <row r="137" spans="1:49" x14ac:dyDescent="0.25">
      <c r="A137" s="9">
        <v>23891</v>
      </c>
      <c r="B137" s="10" t="s">
        <v>8</v>
      </c>
      <c r="C137" s="10" t="s">
        <v>270</v>
      </c>
      <c r="D137" s="10" t="s">
        <v>308</v>
      </c>
      <c r="E137" s="10" t="s">
        <v>309</v>
      </c>
      <c r="F137" s="10">
        <v>33.374498000000003</v>
      </c>
      <c r="G137" s="10">
        <v>42.847051999999998</v>
      </c>
      <c r="H137" s="11">
        <v>945</v>
      </c>
      <c r="I137" s="11">
        <v>5670</v>
      </c>
      <c r="J137" s="11">
        <v>415</v>
      </c>
      <c r="K137" s="11"/>
      <c r="L137" s="11"/>
      <c r="M137" s="11"/>
      <c r="N137" s="11"/>
      <c r="O137" s="11"/>
      <c r="P137" s="11">
        <v>530</v>
      </c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>
        <v>945</v>
      </c>
      <c r="AD137" s="11"/>
      <c r="AE137" s="11"/>
      <c r="AF137" s="11"/>
      <c r="AG137" s="11"/>
      <c r="AH137" s="11"/>
      <c r="AI137" s="11"/>
      <c r="AJ137" s="11"/>
      <c r="AK137" s="11"/>
      <c r="AL137" s="11"/>
      <c r="AM137" s="11">
        <v>252</v>
      </c>
      <c r="AN137" s="11">
        <v>200</v>
      </c>
      <c r="AO137" s="11"/>
      <c r="AP137" s="11">
        <v>42</v>
      </c>
      <c r="AQ137" s="11">
        <v>451</v>
      </c>
      <c r="AR137" s="11"/>
      <c r="AS137" s="11"/>
      <c r="AT137" s="11"/>
      <c r="AU137" s="20" t="str">
        <f>HYPERLINK("http://www.openstreetmap.org/?mlat=33.3745&amp;mlon=42.8471&amp;zoom=12#map=12/33.3745/42.8471","Maplink1")</f>
        <v>Maplink1</v>
      </c>
      <c r="AV137" s="20" t="str">
        <f>HYPERLINK("https://www.google.iq/maps/search/+33.3745,42.8471/@33.3745,42.8471,14z?hl=en","Maplink2")</f>
        <v>Maplink2</v>
      </c>
      <c r="AW137" s="20" t="str">
        <f>HYPERLINK("http://www.bing.com/maps/?lvl=14&amp;sty=h&amp;cp=33.3745~42.8471&amp;sp=point.33.3745_42.8471","Maplink3")</f>
        <v>Maplink3</v>
      </c>
    </row>
    <row r="138" spans="1:49" x14ac:dyDescent="0.25">
      <c r="A138" s="9">
        <v>20939</v>
      </c>
      <c r="B138" s="10" t="s">
        <v>8</v>
      </c>
      <c r="C138" s="10" t="s">
        <v>270</v>
      </c>
      <c r="D138" s="10" t="s">
        <v>1819</v>
      </c>
      <c r="E138" s="10" t="s">
        <v>283</v>
      </c>
      <c r="F138" s="10">
        <v>33.460740000000001</v>
      </c>
      <c r="G138" s="10">
        <v>43.380360000000003</v>
      </c>
      <c r="H138" s="11">
        <v>1184</v>
      </c>
      <c r="I138" s="11">
        <v>7104</v>
      </c>
      <c r="J138" s="11">
        <v>253</v>
      </c>
      <c r="K138" s="11"/>
      <c r="L138" s="11">
        <v>502</v>
      </c>
      <c r="M138" s="11"/>
      <c r="N138" s="11"/>
      <c r="O138" s="11"/>
      <c r="P138" s="11">
        <v>99</v>
      </c>
      <c r="Q138" s="11"/>
      <c r="R138" s="11">
        <v>330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>
        <v>1184</v>
      </c>
      <c r="AD138" s="11"/>
      <c r="AE138" s="11"/>
      <c r="AF138" s="11"/>
      <c r="AG138" s="11"/>
      <c r="AH138" s="11"/>
      <c r="AI138" s="11"/>
      <c r="AJ138" s="11"/>
      <c r="AK138" s="11"/>
      <c r="AL138" s="11"/>
      <c r="AM138" s="11">
        <v>335</v>
      </c>
      <c r="AN138" s="11">
        <v>130</v>
      </c>
      <c r="AO138" s="11"/>
      <c r="AP138" s="11">
        <v>485</v>
      </c>
      <c r="AQ138" s="11">
        <v>234</v>
      </c>
      <c r="AR138" s="11"/>
      <c r="AS138" s="11"/>
      <c r="AT138" s="11"/>
      <c r="AU138" s="20" t="str">
        <f>HYPERLINK("http://www.openstreetmap.org/?mlat=33.4607&amp;mlon=43.3804&amp;zoom=12#map=12/33.4607/43.3804","Maplink1")</f>
        <v>Maplink1</v>
      </c>
      <c r="AV138" s="20" t="str">
        <f>HYPERLINK("https://www.google.iq/maps/search/+33.4607,43.3804/@33.4607,43.3804,14z?hl=en","Maplink2")</f>
        <v>Maplink2</v>
      </c>
      <c r="AW138" s="20" t="str">
        <f>HYPERLINK("http://www.bing.com/maps/?lvl=14&amp;sty=h&amp;cp=33.4607~43.3804&amp;sp=point.33.4607_43.3804","Maplink3")</f>
        <v>Maplink3</v>
      </c>
    </row>
    <row r="139" spans="1:49" x14ac:dyDescent="0.25">
      <c r="A139" s="9">
        <v>31882</v>
      </c>
      <c r="B139" s="10" t="s">
        <v>8</v>
      </c>
      <c r="C139" s="10" t="s">
        <v>270</v>
      </c>
      <c r="D139" s="10" t="s">
        <v>310</v>
      </c>
      <c r="E139" s="10" t="s">
        <v>311</v>
      </c>
      <c r="F139" s="10">
        <v>33.481547999999997</v>
      </c>
      <c r="G139" s="10">
        <v>43.293579999999999</v>
      </c>
      <c r="H139" s="11">
        <v>797</v>
      </c>
      <c r="I139" s="11">
        <v>4782</v>
      </c>
      <c r="J139" s="11">
        <v>318</v>
      </c>
      <c r="K139" s="11">
        <v>93</v>
      </c>
      <c r="L139" s="11">
        <v>187</v>
      </c>
      <c r="M139" s="11"/>
      <c r="N139" s="11"/>
      <c r="O139" s="11"/>
      <c r="P139" s="11">
        <v>90</v>
      </c>
      <c r="Q139" s="11"/>
      <c r="R139" s="11">
        <v>109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>
        <v>797</v>
      </c>
      <c r="AD139" s="11"/>
      <c r="AE139" s="11"/>
      <c r="AF139" s="11"/>
      <c r="AG139" s="11"/>
      <c r="AH139" s="11"/>
      <c r="AI139" s="11"/>
      <c r="AJ139" s="11"/>
      <c r="AK139" s="11"/>
      <c r="AL139" s="11"/>
      <c r="AM139" s="11">
        <v>191</v>
      </c>
      <c r="AN139" s="11"/>
      <c r="AO139" s="11"/>
      <c r="AP139" s="11">
        <v>187</v>
      </c>
      <c r="AQ139" s="11">
        <v>394</v>
      </c>
      <c r="AR139" s="11">
        <v>25</v>
      </c>
      <c r="AS139" s="11"/>
      <c r="AT139" s="11"/>
      <c r="AU139" s="20" t="str">
        <f>HYPERLINK("http://www.openstreetmap.org/?mlat=33.4815&amp;mlon=43.2936&amp;zoom=12#map=12/33.4815/43.2936","Maplink1")</f>
        <v>Maplink1</v>
      </c>
      <c r="AV139" s="20" t="str">
        <f>HYPERLINK("https://www.google.iq/maps/search/+33.4815,43.2936/@33.4815,43.2936,14z?hl=en","Maplink2")</f>
        <v>Maplink2</v>
      </c>
      <c r="AW139" s="20" t="str">
        <f>HYPERLINK("http://www.bing.com/maps/?lvl=14&amp;sty=h&amp;cp=33.4815~43.2936&amp;sp=point.33.4815_43.2936","Maplink3")</f>
        <v>Maplink3</v>
      </c>
    </row>
    <row r="140" spans="1:49" x14ac:dyDescent="0.25">
      <c r="A140" s="9">
        <v>21227</v>
      </c>
      <c r="B140" s="10" t="s">
        <v>8</v>
      </c>
      <c r="C140" s="10" t="s">
        <v>270</v>
      </c>
      <c r="D140" s="10" t="s">
        <v>312</v>
      </c>
      <c r="E140" s="10" t="s">
        <v>313</v>
      </c>
      <c r="F140" s="10">
        <v>33.465560000000004</v>
      </c>
      <c r="G140" s="10">
        <v>43.279260999999998</v>
      </c>
      <c r="H140" s="11">
        <v>1303</v>
      </c>
      <c r="I140" s="11">
        <v>7818</v>
      </c>
      <c r="J140" s="11">
        <v>561</v>
      </c>
      <c r="K140" s="11"/>
      <c r="L140" s="11">
        <v>120</v>
      </c>
      <c r="M140" s="11"/>
      <c r="N140" s="11"/>
      <c r="O140" s="11"/>
      <c r="P140" s="11">
        <v>437</v>
      </c>
      <c r="Q140" s="11"/>
      <c r="R140" s="11">
        <v>185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>
        <v>1240</v>
      </c>
      <c r="AD140" s="11"/>
      <c r="AE140" s="11"/>
      <c r="AF140" s="11"/>
      <c r="AG140" s="11"/>
      <c r="AH140" s="11"/>
      <c r="AI140" s="11">
        <v>63</v>
      </c>
      <c r="AJ140" s="11"/>
      <c r="AK140" s="11"/>
      <c r="AL140" s="11"/>
      <c r="AM140" s="11">
        <v>653</v>
      </c>
      <c r="AN140" s="11"/>
      <c r="AO140" s="11"/>
      <c r="AP140" s="11">
        <v>264</v>
      </c>
      <c r="AQ140" s="11">
        <v>386</v>
      </c>
      <c r="AR140" s="11"/>
      <c r="AS140" s="11"/>
      <c r="AT140" s="11"/>
      <c r="AU140" s="20" t="str">
        <f>HYPERLINK("http://www.openstreetmap.org/?mlat=33.4656&amp;mlon=43.2793&amp;zoom=12#map=12/33.4656/43.2793","Maplink1")</f>
        <v>Maplink1</v>
      </c>
      <c r="AV140" s="20" t="str">
        <f>HYPERLINK("https://www.google.iq/maps/search/+33.4656,43.2793/@33.4656,43.2793,14z?hl=en","Maplink2")</f>
        <v>Maplink2</v>
      </c>
      <c r="AW140" s="20" t="str">
        <f>HYPERLINK("http://www.bing.com/maps/?lvl=14&amp;sty=h&amp;cp=33.4656~43.2793&amp;sp=point.33.4656_43.2793","Maplink3")</f>
        <v>Maplink3</v>
      </c>
    </row>
    <row r="141" spans="1:49" x14ac:dyDescent="0.25">
      <c r="A141" s="9">
        <v>23854</v>
      </c>
      <c r="B141" s="10" t="s">
        <v>8</v>
      </c>
      <c r="C141" s="10" t="s">
        <v>270</v>
      </c>
      <c r="D141" s="10" t="s">
        <v>314</v>
      </c>
      <c r="E141" s="10" t="s">
        <v>315</v>
      </c>
      <c r="F141" s="10">
        <v>33.373739999999998</v>
      </c>
      <c r="G141" s="10">
        <v>43.592390000000002</v>
      </c>
      <c r="H141" s="11">
        <v>354</v>
      </c>
      <c r="I141" s="11">
        <v>2124</v>
      </c>
      <c r="J141" s="11">
        <v>49</v>
      </c>
      <c r="K141" s="11"/>
      <c r="L141" s="11">
        <v>99</v>
      </c>
      <c r="M141" s="11"/>
      <c r="N141" s="11"/>
      <c r="O141" s="11"/>
      <c r="P141" s="11">
        <v>206</v>
      </c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>
        <v>354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>
        <v>215</v>
      </c>
      <c r="AQ141" s="11">
        <v>139</v>
      </c>
      <c r="AR141" s="11"/>
      <c r="AS141" s="11"/>
      <c r="AT141" s="11"/>
      <c r="AU141" s="20" t="str">
        <f>HYPERLINK("http://www.openstreetmap.org/?mlat=33.3737&amp;mlon=43.5924&amp;zoom=12#map=12/33.3737/43.5924","Maplink1")</f>
        <v>Maplink1</v>
      </c>
      <c r="AV141" s="20" t="str">
        <f>HYPERLINK("https://www.google.iq/maps/search/+33.3737,43.5924/@33.3737,43.5924,14z?hl=en","Maplink2")</f>
        <v>Maplink2</v>
      </c>
      <c r="AW141" s="20" t="str">
        <f>HYPERLINK("http://www.bing.com/maps/?lvl=14&amp;sty=h&amp;cp=33.3737~43.5924&amp;sp=point.33.3737_43.5924","Maplink3")</f>
        <v>Maplink3</v>
      </c>
    </row>
    <row r="142" spans="1:49" x14ac:dyDescent="0.25">
      <c r="A142" s="9">
        <v>23857</v>
      </c>
      <c r="B142" s="10" t="s">
        <v>8</v>
      </c>
      <c r="C142" s="10" t="s">
        <v>270</v>
      </c>
      <c r="D142" s="10" t="s">
        <v>316</v>
      </c>
      <c r="E142" s="10" t="s">
        <v>317</v>
      </c>
      <c r="F142" s="10">
        <v>33.393540000000002</v>
      </c>
      <c r="G142" s="10">
        <v>43.49841</v>
      </c>
      <c r="H142" s="11">
        <v>1737</v>
      </c>
      <c r="I142" s="11">
        <v>10422</v>
      </c>
      <c r="J142" s="11">
        <v>1402</v>
      </c>
      <c r="K142" s="11"/>
      <c r="L142" s="11">
        <v>25</v>
      </c>
      <c r="M142" s="11"/>
      <c r="N142" s="11"/>
      <c r="O142" s="11"/>
      <c r="P142" s="11">
        <v>255</v>
      </c>
      <c r="Q142" s="11"/>
      <c r="R142" s="11">
        <v>50</v>
      </c>
      <c r="S142" s="11"/>
      <c r="T142" s="11"/>
      <c r="U142" s="11"/>
      <c r="V142" s="11"/>
      <c r="W142" s="11"/>
      <c r="X142" s="11"/>
      <c r="Y142" s="11">
        <v>5</v>
      </c>
      <c r="Z142" s="11"/>
      <c r="AA142" s="11"/>
      <c r="AB142" s="11"/>
      <c r="AC142" s="11">
        <v>1678</v>
      </c>
      <c r="AD142" s="11"/>
      <c r="AE142" s="11"/>
      <c r="AF142" s="11"/>
      <c r="AG142" s="11"/>
      <c r="AH142" s="11"/>
      <c r="AI142" s="11">
        <v>59</v>
      </c>
      <c r="AJ142" s="11"/>
      <c r="AK142" s="11"/>
      <c r="AL142" s="11"/>
      <c r="AM142" s="11">
        <v>336</v>
      </c>
      <c r="AN142" s="11"/>
      <c r="AO142" s="11"/>
      <c r="AP142" s="11">
        <v>121</v>
      </c>
      <c r="AQ142" s="11">
        <v>135</v>
      </c>
      <c r="AR142" s="11">
        <v>1145</v>
      </c>
      <c r="AS142" s="11"/>
      <c r="AT142" s="11"/>
      <c r="AU142" s="20" t="str">
        <f>HYPERLINK("http://www.openstreetmap.org/?mlat=33.3935&amp;mlon=43.4984&amp;zoom=12#map=12/33.3935/43.4984","Maplink1")</f>
        <v>Maplink1</v>
      </c>
      <c r="AV142" s="20" t="str">
        <f>HYPERLINK("https://www.google.iq/maps/search/+33.3935,43.4984/@33.3935,43.4984,14z?hl=en","Maplink2")</f>
        <v>Maplink2</v>
      </c>
      <c r="AW142" s="20" t="str">
        <f>HYPERLINK("http://www.bing.com/maps/?lvl=14&amp;sty=h&amp;cp=33.3935~43.4984&amp;sp=point.33.3935_43.4984","Maplink3")</f>
        <v>Maplink3</v>
      </c>
    </row>
    <row r="143" spans="1:49" x14ac:dyDescent="0.25">
      <c r="A143" s="9">
        <v>185</v>
      </c>
      <c r="B143" s="10" t="s">
        <v>8</v>
      </c>
      <c r="C143" s="10" t="s">
        <v>270</v>
      </c>
      <c r="D143" s="10" t="s">
        <v>318</v>
      </c>
      <c r="E143" s="10" t="s">
        <v>319</v>
      </c>
      <c r="F143" s="10">
        <v>33.429220000000001</v>
      </c>
      <c r="G143" s="10">
        <v>43.31223</v>
      </c>
      <c r="H143" s="11">
        <v>2369</v>
      </c>
      <c r="I143" s="11">
        <v>14214</v>
      </c>
      <c r="J143" s="11">
        <v>1148</v>
      </c>
      <c r="K143" s="11"/>
      <c r="L143" s="11">
        <v>514</v>
      </c>
      <c r="M143" s="11"/>
      <c r="N143" s="11"/>
      <c r="O143" s="11"/>
      <c r="P143" s="11">
        <v>570</v>
      </c>
      <c r="Q143" s="11"/>
      <c r="R143" s="11">
        <v>137</v>
      </c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>
        <v>2334</v>
      </c>
      <c r="AD143" s="11"/>
      <c r="AE143" s="11"/>
      <c r="AF143" s="11"/>
      <c r="AG143" s="11"/>
      <c r="AH143" s="11"/>
      <c r="AI143" s="11">
        <v>35</v>
      </c>
      <c r="AJ143" s="11"/>
      <c r="AK143" s="11"/>
      <c r="AL143" s="11"/>
      <c r="AM143" s="11">
        <v>995</v>
      </c>
      <c r="AN143" s="11">
        <v>239</v>
      </c>
      <c r="AO143" s="11"/>
      <c r="AP143" s="11">
        <v>648</v>
      </c>
      <c r="AQ143" s="11">
        <v>305</v>
      </c>
      <c r="AR143" s="11">
        <v>182</v>
      </c>
      <c r="AS143" s="11"/>
      <c r="AT143" s="11"/>
      <c r="AU143" s="20" t="str">
        <f>HYPERLINK("http://www.openstreetmap.org/?mlat=33.4292&amp;mlon=43.3122&amp;zoom=12#map=12/33.4292/43.3122","Maplink1")</f>
        <v>Maplink1</v>
      </c>
      <c r="AV143" s="20" t="str">
        <f>HYPERLINK("https://www.google.iq/maps/search/+33.4292,43.3122/@33.4292,43.3122,14z?hl=en","Maplink2")</f>
        <v>Maplink2</v>
      </c>
      <c r="AW143" s="20" t="str">
        <f>HYPERLINK("http://www.bing.com/maps/?lvl=14&amp;sty=h&amp;cp=33.4292~43.3122&amp;sp=point.33.4292_43.3122","Maplink3")</f>
        <v>Maplink3</v>
      </c>
    </row>
    <row r="144" spans="1:49" x14ac:dyDescent="0.25">
      <c r="A144" s="9">
        <v>206</v>
      </c>
      <c r="B144" s="10" t="s">
        <v>8</v>
      </c>
      <c r="C144" s="10" t="s">
        <v>270</v>
      </c>
      <c r="D144" s="10" t="s">
        <v>320</v>
      </c>
      <c r="E144" s="10" t="s">
        <v>172</v>
      </c>
      <c r="F144" s="10">
        <v>33.375390000000003</v>
      </c>
      <c r="G144" s="10">
        <v>43.535510000000002</v>
      </c>
      <c r="H144" s="11">
        <v>616</v>
      </c>
      <c r="I144" s="11">
        <v>3696</v>
      </c>
      <c r="J144" s="11">
        <v>190</v>
      </c>
      <c r="K144" s="11"/>
      <c r="L144" s="11">
        <v>190</v>
      </c>
      <c r="M144" s="11"/>
      <c r="N144" s="11"/>
      <c r="O144" s="11"/>
      <c r="P144" s="11">
        <v>110</v>
      </c>
      <c r="Q144" s="11"/>
      <c r="R144" s="11">
        <v>103</v>
      </c>
      <c r="S144" s="11"/>
      <c r="T144" s="11"/>
      <c r="U144" s="11"/>
      <c r="V144" s="11"/>
      <c r="W144" s="11"/>
      <c r="X144" s="11"/>
      <c r="Y144" s="11">
        <v>23</v>
      </c>
      <c r="Z144" s="11"/>
      <c r="AA144" s="11"/>
      <c r="AB144" s="11"/>
      <c r="AC144" s="11">
        <v>616</v>
      </c>
      <c r="AD144" s="11"/>
      <c r="AE144" s="11"/>
      <c r="AF144" s="11"/>
      <c r="AG144" s="11"/>
      <c r="AH144" s="11"/>
      <c r="AI144" s="11"/>
      <c r="AJ144" s="11"/>
      <c r="AK144" s="11"/>
      <c r="AL144" s="11"/>
      <c r="AM144" s="11">
        <v>121</v>
      </c>
      <c r="AN144" s="11">
        <v>133</v>
      </c>
      <c r="AO144" s="11"/>
      <c r="AP144" s="11">
        <v>234</v>
      </c>
      <c r="AQ144" s="11">
        <v>128</v>
      </c>
      <c r="AR144" s="11"/>
      <c r="AS144" s="11"/>
      <c r="AT144" s="11"/>
      <c r="AU144" s="20" t="str">
        <f>HYPERLINK("http://www.openstreetmap.org/?mlat=33.3754&amp;mlon=43.5355&amp;zoom=12#map=12/33.3754/43.5355","Maplink1")</f>
        <v>Maplink1</v>
      </c>
      <c r="AV144" s="20" t="str">
        <f>HYPERLINK("https://www.google.iq/maps/search/+33.3754,43.5355/@33.3754,43.5355,14z?hl=en","Maplink2")</f>
        <v>Maplink2</v>
      </c>
      <c r="AW144" s="20" t="str">
        <f>HYPERLINK("http://www.bing.com/maps/?lvl=14&amp;sty=h&amp;cp=33.3754~43.5355&amp;sp=point.33.3754_43.5355","Maplink3")</f>
        <v>Maplink3</v>
      </c>
    </row>
    <row r="145" spans="1:49" x14ac:dyDescent="0.25">
      <c r="A145" s="9">
        <v>297</v>
      </c>
      <c r="B145" s="10" t="s">
        <v>8</v>
      </c>
      <c r="C145" s="10" t="s">
        <v>270</v>
      </c>
      <c r="D145" s="10" t="s">
        <v>321</v>
      </c>
      <c r="E145" s="10" t="s">
        <v>322</v>
      </c>
      <c r="F145" s="10">
        <v>33.432940000000002</v>
      </c>
      <c r="G145" s="10">
        <v>43.311149999999998</v>
      </c>
      <c r="H145" s="11">
        <v>1994</v>
      </c>
      <c r="I145" s="11">
        <v>11964</v>
      </c>
      <c r="J145" s="11">
        <v>1343</v>
      </c>
      <c r="K145" s="11">
        <v>54</v>
      </c>
      <c r="L145" s="11">
        <v>445</v>
      </c>
      <c r="M145" s="11"/>
      <c r="N145" s="11"/>
      <c r="O145" s="11"/>
      <c r="P145" s="11">
        <v>152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>
        <v>1685</v>
      </c>
      <c r="AD145" s="11"/>
      <c r="AE145" s="11"/>
      <c r="AF145" s="11"/>
      <c r="AG145" s="11"/>
      <c r="AH145" s="11"/>
      <c r="AI145" s="11">
        <v>309</v>
      </c>
      <c r="AJ145" s="11"/>
      <c r="AK145" s="11"/>
      <c r="AL145" s="11"/>
      <c r="AM145" s="11">
        <v>427</v>
      </c>
      <c r="AN145" s="11"/>
      <c r="AO145" s="11"/>
      <c r="AP145" s="11">
        <v>332</v>
      </c>
      <c r="AQ145" s="11">
        <v>1187</v>
      </c>
      <c r="AR145" s="11">
        <v>48</v>
      </c>
      <c r="AS145" s="11"/>
      <c r="AT145" s="11"/>
      <c r="AU145" s="20" t="str">
        <f>HYPERLINK("http://www.openstreetmap.org/?mlat=33.4329&amp;mlon=43.3111&amp;zoom=12#map=12/33.4329/43.3111","Maplink1")</f>
        <v>Maplink1</v>
      </c>
      <c r="AV145" s="20" t="str">
        <f>HYPERLINK("https://www.google.iq/maps/search/+33.4329,43.3111/@33.4329,43.3111,14z?hl=en","Maplink2")</f>
        <v>Maplink2</v>
      </c>
      <c r="AW145" s="20" t="str">
        <f>HYPERLINK("http://www.bing.com/maps/?lvl=14&amp;sty=h&amp;cp=33.4329~43.3111&amp;sp=point.33.4329_43.3111","Maplink3")</f>
        <v>Maplink3</v>
      </c>
    </row>
    <row r="146" spans="1:49" x14ac:dyDescent="0.25">
      <c r="A146" s="9">
        <v>29486</v>
      </c>
      <c r="B146" s="10" t="s">
        <v>8</v>
      </c>
      <c r="C146" s="10" t="s">
        <v>270</v>
      </c>
      <c r="D146" s="10" t="s">
        <v>148</v>
      </c>
      <c r="E146" s="10" t="s">
        <v>323</v>
      </c>
      <c r="F146" s="10">
        <v>33.414079999999998</v>
      </c>
      <c r="G146" s="10">
        <v>43.191429999999997</v>
      </c>
      <c r="H146" s="11">
        <v>1506</v>
      </c>
      <c r="I146" s="11">
        <v>9036</v>
      </c>
      <c r="J146" s="11">
        <v>853</v>
      </c>
      <c r="K146" s="11">
        <v>335</v>
      </c>
      <c r="L146" s="11">
        <v>118</v>
      </c>
      <c r="M146" s="11"/>
      <c r="N146" s="11"/>
      <c r="O146" s="11"/>
      <c r="P146" s="11">
        <v>120</v>
      </c>
      <c r="Q146" s="11"/>
      <c r="R146" s="11">
        <v>80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>
        <v>1506</v>
      </c>
      <c r="AD146" s="11"/>
      <c r="AE146" s="11"/>
      <c r="AF146" s="11"/>
      <c r="AG146" s="11"/>
      <c r="AH146" s="11"/>
      <c r="AI146" s="11"/>
      <c r="AJ146" s="11"/>
      <c r="AK146" s="11"/>
      <c r="AL146" s="11"/>
      <c r="AM146" s="11">
        <v>315</v>
      </c>
      <c r="AN146" s="11">
        <v>747</v>
      </c>
      <c r="AO146" s="11"/>
      <c r="AP146" s="11">
        <v>236</v>
      </c>
      <c r="AQ146" s="11">
        <v>208</v>
      </c>
      <c r="AR146" s="11"/>
      <c r="AS146" s="11"/>
      <c r="AT146" s="11"/>
      <c r="AU146" s="20" t="str">
        <f>HYPERLINK("http://www.openstreetmap.org/?mlat=33.4141&amp;mlon=43.1914&amp;zoom=12#map=12/33.4141/43.1914","Maplink1")</f>
        <v>Maplink1</v>
      </c>
      <c r="AV146" s="20" t="str">
        <f>HYPERLINK("https://www.google.iq/maps/search/+33.4141,43.1914/@33.4141,43.1914,14z?hl=en","Maplink2")</f>
        <v>Maplink2</v>
      </c>
      <c r="AW146" s="20" t="str">
        <f>HYPERLINK("http://www.bing.com/maps/?lvl=14&amp;sty=h&amp;cp=33.4141~43.1914&amp;sp=point.33.4141_43.1914","Maplink3")</f>
        <v>Maplink3</v>
      </c>
    </row>
    <row r="147" spans="1:49" x14ac:dyDescent="0.25">
      <c r="A147" s="9">
        <v>204</v>
      </c>
      <c r="B147" s="10" t="s">
        <v>8</v>
      </c>
      <c r="C147" s="10" t="s">
        <v>270</v>
      </c>
      <c r="D147" s="10" t="s">
        <v>324</v>
      </c>
      <c r="E147" s="10" t="s">
        <v>325</v>
      </c>
      <c r="F147" s="10">
        <v>33.41583</v>
      </c>
      <c r="G147" s="10">
        <v>43.273220000000002</v>
      </c>
      <c r="H147" s="11">
        <v>1801</v>
      </c>
      <c r="I147" s="11">
        <v>10806</v>
      </c>
      <c r="J147" s="11">
        <v>263</v>
      </c>
      <c r="K147" s="11"/>
      <c r="L147" s="11">
        <v>786</v>
      </c>
      <c r="M147" s="11"/>
      <c r="N147" s="11"/>
      <c r="O147" s="11"/>
      <c r="P147" s="11">
        <v>306</v>
      </c>
      <c r="Q147" s="11"/>
      <c r="R147" s="11">
        <v>446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>
        <v>1801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>
        <v>264</v>
      </c>
      <c r="AN147" s="11">
        <v>333</v>
      </c>
      <c r="AO147" s="11"/>
      <c r="AP147" s="11">
        <v>760</v>
      </c>
      <c r="AQ147" s="11">
        <v>444</v>
      </c>
      <c r="AR147" s="11"/>
      <c r="AS147" s="11"/>
      <c r="AT147" s="11"/>
      <c r="AU147" s="20" t="str">
        <f>HYPERLINK("http://www.openstreetmap.org/?mlat=33.4158&amp;mlon=43.2732&amp;zoom=12#map=12/33.4158/43.2732","Maplink1")</f>
        <v>Maplink1</v>
      </c>
      <c r="AV147" s="20" t="str">
        <f>HYPERLINK("https://www.google.iq/maps/search/+33.4158,43.2732/@33.4158,43.2732,14z?hl=en","Maplink2")</f>
        <v>Maplink2</v>
      </c>
      <c r="AW147" s="20" t="str">
        <f>HYPERLINK("http://www.bing.com/maps/?lvl=14&amp;sty=h&amp;cp=33.4158~43.2732&amp;sp=point.33.4158_43.2732","Maplink3")</f>
        <v>Maplink3</v>
      </c>
    </row>
    <row r="148" spans="1:49" x14ac:dyDescent="0.25">
      <c r="A148" s="9">
        <v>29561</v>
      </c>
      <c r="B148" s="10" t="s">
        <v>8</v>
      </c>
      <c r="C148" s="10" t="s">
        <v>270</v>
      </c>
      <c r="D148" s="10" t="s">
        <v>326</v>
      </c>
      <c r="E148" s="10" t="s">
        <v>327</v>
      </c>
      <c r="F148" s="10">
        <v>33.422110000000004</v>
      </c>
      <c r="G148" s="10">
        <v>43.26229</v>
      </c>
      <c r="H148" s="11">
        <v>1316</v>
      </c>
      <c r="I148" s="11">
        <v>7896</v>
      </c>
      <c r="J148" s="11">
        <v>721</v>
      </c>
      <c r="K148" s="11"/>
      <c r="L148" s="11">
        <v>160</v>
      </c>
      <c r="M148" s="11"/>
      <c r="N148" s="11"/>
      <c r="O148" s="11"/>
      <c r="P148" s="11">
        <v>279</v>
      </c>
      <c r="Q148" s="11"/>
      <c r="R148" s="11">
        <v>102</v>
      </c>
      <c r="S148" s="11"/>
      <c r="T148" s="11"/>
      <c r="U148" s="11"/>
      <c r="V148" s="11"/>
      <c r="W148" s="11"/>
      <c r="X148" s="11"/>
      <c r="Y148" s="11">
        <v>54</v>
      </c>
      <c r="Z148" s="11"/>
      <c r="AA148" s="11"/>
      <c r="AB148" s="11"/>
      <c r="AC148" s="11">
        <v>1226</v>
      </c>
      <c r="AD148" s="11"/>
      <c r="AE148" s="11"/>
      <c r="AF148" s="11"/>
      <c r="AG148" s="11"/>
      <c r="AH148" s="11"/>
      <c r="AI148" s="11">
        <v>90</v>
      </c>
      <c r="AJ148" s="11"/>
      <c r="AK148" s="11"/>
      <c r="AL148" s="11"/>
      <c r="AM148" s="11">
        <v>173</v>
      </c>
      <c r="AN148" s="11">
        <v>133</v>
      </c>
      <c r="AO148" s="11"/>
      <c r="AP148" s="11">
        <v>316</v>
      </c>
      <c r="AQ148" s="11">
        <v>694</v>
      </c>
      <c r="AR148" s="11"/>
      <c r="AS148" s="11"/>
      <c r="AT148" s="11"/>
      <c r="AU148" s="20" t="str">
        <f>HYPERLINK("http://www.openstreetmap.org/?mlat=33.4221&amp;mlon=43.2623&amp;zoom=12#map=12/33.4221/43.2623","Maplink1")</f>
        <v>Maplink1</v>
      </c>
      <c r="AV148" s="20" t="str">
        <f>HYPERLINK("https://www.google.iq/maps/search/+33.4221,43.2623/@33.4221,43.2623,14z?hl=en","Maplink2")</f>
        <v>Maplink2</v>
      </c>
      <c r="AW148" s="20" t="str">
        <f>HYPERLINK("http://www.bing.com/maps/?lvl=14&amp;sty=h&amp;cp=33.4221~43.2623&amp;sp=point.33.4221_43.2623","Maplink3")</f>
        <v>Maplink3</v>
      </c>
    </row>
    <row r="149" spans="1:49" x14ac:dyDescent="0.25">
      <c r="A149" s="9">
        <v>21997</v>
      </c>
      <c r="B149" s="10" t="s">
        <v>8</v>
      </c>
      <c r="C149" s="10" t="s">
        <v>270</v>
      </c>
      <c r="D149" s="10" t="s">
        <v>328</v>
      </c>
      <c r="E149" s="10" t="s">
        <v>329</v>
      </c>
      <c r="F149" s="10">
        <v>33.418559999999999</v>
      </c>
      <c r="G149" s="10">
        <v>43.280110000000001</v>
      </c>
      <c r="H149" s="11">
        <v>1721</v>
      </c>
      <c r="I149" s="11">
        <v>10326</v>
      </c>
      <c r="J149" s="11">
        <v>352</v>
      </c>
      <c r="K149" s="11"/>
      <c r="L149" s="11">
        <v>782</v>
      </c>
      <c r="M149" s="11"/>
      <c r="N149" s="11"/>
      <c r="O149" s="11"/>
      <c r="P149" s="11">
        <v>120</v>
      </c>
      <c r="Q149" s="11"/>
      <c r="R149" s="11">
        <v>467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>
        <v>1631</v>
      </c>
      <c r="AD149" s="11"/>
      <c r="AE149" s="11"/>
      <c r="AF149" s="11"/>
      <c r="AG149" s="11"/>
      <c r="AH149" s="11"/>
      <c r="AI149" s="11">
        <v>90</v>
      </c>
      <c r="AJ149" s="11"/>
      <c r="AK149" s="11"/>
      <c r="AL149" s="11"/>
      <c r="AM149" s="11">
        <v>482</v>
      </c>
      <c r="AN149" s="11">
        <v>302</v>
      </c>
      <c r="AO149" s="11"/>
      <c r="AP149" s="11">
        <v>502</v>
      </c>
      <c r="AQ149" s="11">
        <v>435</v>
      </c>
      <c r="AR149" s="11"/>
      <c r="AS149" s="11"/>
      <c r="AT149" s="11"/>
      <c r="AU149" s="20" t="str">
        <f>HYPERLINK("http://www.openstreetmap.org/?mlat=33.4186&amp;mlon=43.2801&amp;zoom=12#map=12/33.4186/43.2801","Maplink1")</f>
        <v>Maplink1</v>
      </c>
      <c r="AV149" s="20" t="str">
        <f>HYPERLINK("https://www.google.iq/maps/search/+33.4186,43.2801/@33.4186,43.2801,14z?hl=en","Maplink2")</f>
        <v>Maplink2</v>
      </c>
      <c r="AW149" s="20" t="str">
        <f>HYPERLINK("http://www.bing.com/maps/?lvl=14&amp;sty=h&amp;cp=33.4186~43.2801&amp;sp=point.33.4186_43.2801","Maplink3")</f>
        <v>Maplink3</v>
      </c>
    </row>
    <row r="150" spans="1:49" x14ac:dyDescent="0.25">
      <c r="A150" s="9">
        <v>210</v>
      </c>
      <c r="B150" s="10" t="s">
        <v>8</v>
      </c>
      <c r="C150" s="10" t="s">
        <v>270</v>
      </c>
      <c r="D150" s="10" t="s">
        <v>330</v>
      </c>
      <c r="E150" s="10" t="s">
        <v>331</v>
      </c>
      <c r="F150" s="10">
        <v>33.42033</v>
      </c>
      <c r="G150" s="10">
        <v>43.272849999999998</v>
      </c>
      <c r="H150" s="11">
        <v>1169</v>
      </c>
      <c r="I150" s="11">
        <v>7014</v>
      </c>
      <c r="J150" s="11">
        <v>483</v>
      </c>
      <c r="K150" s="11">
        <v>105</v>
      </c>
      <c r="L150" s="11">
        <v>215</v>
      </c>
      <c r="M150" s="11"/>
      <c r="N150" s="11"/>
      <c r="O150" s="11"/>
      <c r="P150" s="11">
        <v>236</v>
      </c>
      <c r="Q150" s="11"/>
      <c r="R150" s="11">
        <v>130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>
        <v>1169</v>
      </c>
      <c r="AD150" s="11"/>
      <c r="AE150" s="11"/>
      <c r="AF150" s="11"/>
      <c r="AG150" s="11"/>
      <c r="AH150" s="11"/>
      <c r="AI150" s="11"/>
      <c r="AJ150" s="11"/>
      <c r="AK150" s="11"/>
      <c r="AL150" s="11"/>
      <c r="AM150" s="11">
        <v>82</v>
      </c>
      <c r="AN150" s="11">
        <v>230</v>
      </c>
      <c r="AO150" s="11"/>
      <c r="AP150" s="11">
        <v>583</v>
      </c>
      <c r="AQ150" s="11">
        <v>274</v>
      </c>
      <c r="AR150" s="11"/>
      <c r="AS150" s="11"/>
      <c r="AT150" s="11"/>
      <c r="AU150" s="20" t="str">
        <f>HYPERLINK("http://www.openstreetmap.org/?mlat=33.4203&amp;mlon=43.2728&amp;zoom=12#map=12/33.4203/43.2728","Maplink1")</f>
        <v>Maplink1</v>
      </c>
      <c r="AV150" s="20" t="str">
        <f>HYPERLINK("https://www.google.iq/maps/search/+33.4203,43.2728/@33.4203,43.2728,14z?hl=en","Maplink2")</f>
        <v>Maplink2</v>
      </c>
      <c r="AW150" s="20" t="str">
        <f>HYPERLINK("http://www.bing.com/maps/?lvl=14&amp;sty=h&amp;cp=33.4203~43.2728&amp;sp=point.33.4203_43.2728","Maplink3")</f>
        <v>Maplink3</v>
      </c>
    </row>
    <row r="151" spans="1:49" x14ac:dyDescent="0.25">
      <c r="A151" s="9">
        <v>23602</v>
      </c>
      <c r="B151" s="10" t="s">
        <v>8</v>
      </c>
      <c r="C151" s="10" t="s">
        <v>270</v>
      </c>
      <c r="D151" s="10" t="s">
        <v>332</v>
      </c>
      <c r="E151" s="10" t="s">
        <v>333</v>
      </c>
      <c r="F151" s="10">
        <v>33.417470000000002</v>
      </c>
      <c r="G151" s="10">
        <v>43.30715</v>
      </c>
      <c r="H151" s="11">
        <v>2156</v>
      </c>
      <c r="I151" s="11">
        <v>12936</v>
      </c>
      <c r="J151" s="11">
        <v>1364</v>
      </c>
      <c r="K151" s="11">
        <v>84</v>
      </c>
      <c r="L151" s="11">
        <v>391</v>
      </c>
      <c r="M151" s="11"/>
      <c r="N151" s="11"/>
      <c r="O151" s="11"/>
      <c r="P151" s="11">
        <v>111</v>
      </c>
      <c r="Q151" s="11"/>
      <c r="R151" s="11">
        <v>206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>
        <v>2097</v>
      </c>
      <c r="AD151" s="11"/>
      <c r="AE151" s="11"/>
      <c r="AF151" s="11"/>
      <c r="AG151" s="11"/>
      <c r="AH151" s="11"/>
      <c r="AI151" s="11">
        <v>59</v>
      </c>
      <c r="AJ151" s="11"/>
      <c r="AK151" s="11"/>
      <c r="AL151" s="11"/>
      <c r="AM151" s="11">
        <v>631</v>
      </c>
      <c r="AN151" s="11"/>
      <c r="AO151" s="11"/>
      <c r="AP151" s="11">
        <v>84</v>
      </c>
      <c r="AQ151" s="11">
        <v>1441</v>
      </c>
      <c r="AR151" s="11"/>
      <c r="AS151" s="11"/>
      <c r="AT151" s="11"/>
      <c r="AU151" s="20" t="str">
        <f>HYPERLINK("http://www.openstreetmap.org/?mlat=33.4175&amp;mlon=43.3072&amp;zoom=12#map=12/33.4175/43.3072","Maplink1")</f>
        <v>Maplink1</v>
      </c>
      <c r="AV151" s="20" t="str">
        <f>HYPERLINK("https://www.google.iq/maps/search/+33.4175,43.3072/@33.4175,43.3072,14z?hl=en","Maplink2")</f>
        <v>Maplink2</v>
      </c>
      <c r="AW151" s="20" t="str">
        <f>HYPERLINK("http://www.bing.com/maps/?lvl=14&amp;sty=h&amp;cp=33.4175~43.3072&amp;sp=point.33.4175_43.3072","Maplink3")</f>
        <v>Maplink3</v>
      </c>
    </row>
    <row r="152" spans="1:49" x14ac:dyDescent="0.25">
      <c r="A152" s="9">
        <v>23023</v>
      </c>
      <c r="B152" s="10" t="s">
        <v>8</v>
      </c>
      <c r="C152" s="10" t="s">
        <v>270</v>
      </c>
      <c r="D152" s="10" t="s">
        <v>334</v>
      </c>
      <c r="E152" s="10" t="s">
        <v>335</v>
      </c>
      <c r="F152" s="10">
        <v>33.422249999999998</v>
      </c>
      <c r="G152" s="10">
        <v>43.320779999999999</v>
      </c>
      <c r="H152" s="11">
        <v>2007</v>
      </c>
      <c r="I152" s="11">
        <v>12042</v>
      </c>
      <c r="J152" s="11">
        <v>1062</v>
      </c>
      <c r="K152" s="11"/>
      <c r="L152" s="11">
        <v>112</v>
      </c>
      <c r="M152" s="11"/>
      <c r="N152" s="11"/>
      <c r="O152" s="11"/>
      <c r="P152" s="11">
        <v>491</v>
      </c>
      <c r="Q152" s="11"/>
      <c r="R152" s="11">
        <v>164</v>
      </c>
      <c r="S152" s="11"/>
      <c r="T152" s="11"/>
      <c r="U152" s="11"/>
      <c r="V152" s="11"/>
      <c r="W152" s="11"/>
      <c r="X152" s="11"/>
      <c r="Y152" s="11">
        <v>178</v>
      </c>
      <c r="Z152" s="11"/>
      <c r="AA152" s="11"/>
      <c r="AB152" s="11"/>
      <c r="AC152" s="11">
        <v>1682</v>
      </c>
      <c r="AD152" s="11"/>
      <c r="AE152" s="11"/>
      <c r="AF152" s="11"/>
      <c r="AG152" s="11"/>
      <c r="AH152" s="11"/>
      <c r="AI152" s="11">
        <v>325</v>
      </c>
      <c r="AJ152" s="11"/>
      <c r="AK152" s="11"/>
      <c r="AL152" s="11"/>
      <c r="AM152" s="11">
        <v>390</v>
      </c>
      <c r="AN152" s="11">
        <v>164</v>
      </c>
      <c r="AO152" s="11"/>
      <c r="AP152" s="11">
        <v>179</v>
      </c>
      <c r="AQ152" s="11">
        <v>1274</v>
      </c>
      <c r="AR152" s="11"/>
      <c r="AS152" s="11"/>
      <c r="AT152" s="11"/>
      <c r="AU152" s="20" t="str">
        <f>HYPERLINK("http://www.openstreetmap.org/?mlat=33.4222&amp;mlon=43.3208&amp;zoom=12#map=12/33.4222/43.3208","Maplink1")</f>
        <v>Maplink1</v>
      </c>
      <c r="AV152" s="20" t="str">
        <f>HYPERLINK("https://www.google.iq/maps/search/+33.4222,43.3208/@33.4222,43.3208,14z?hl=en","Maplink2")</f>
        <v>Maplink2</v>
      </c>
      <c r="AW152" s="20" t="str">
        <f>HYPERLINK("http://www.bing.com/maps/?lvl=14&amp;sty=h&amp;cp=33.4222~43.3208&amp;sp=point.33.4222_43.3208","Maplink3")</f>
        <v>Maplink3</v>
      </c>
    </row>
    <row r="153" spans="1:49" x14ac:dyDescent="0.25">
      <c r="A153" s="9">
        <v>23887</v>
      </c>
      <c r="B153" s="10" t="s">
        <v>8</v>
      </c>
      <c r="C153" s="10" t="s">
        <v>270</v>
      </c>
      <c r="D153" s="10" t="s">
        <v>336</v>
      </c>
      <c r="E153" s="10" t="s">
        <v>110</v>
      </c>
      <c r="F153" s="10">
        <v>33.38147</v>
      </c>
      <c r="G153" s="10">
        <v>43.530369999999998</v>
      </c>
      <c r="H153" s="11">
        <v>463</v>
      </c>
      <c r="I153" s="11">
        <v>2778</v>
      </c>
      <c r="J153" s="11">
        <v>23</v>
      </c>
      <c r="K153" s="11"/>
      <c r="L153" s="11">
        <v>109</v>
      </c>
      <c r="M153" s="11"/>
      <c r="N153" s="11">
        <v>80</v>
      </c>
      <c r="O153" s="11"/>
      <c r="P153" s="11">
        <v>77</v>
      </c>
      <c r="Q153" s="11"/>
      <c r="R153" s="11">
        <v>174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>
        <v>463</v>
      </c>
      <c r="AD153" s="11"/>
      <c r="AE153" s="11"/>
      <c r="AF153" s="11"/>
      <c r="AG153" s="11"/>
      <c r="AH153" s="11"/>
      <c r="AI153" s="11"/>
      <c r="AJ153" s="11"/>
      <c r="AK153" s="11"/>
      <c r="AL153" s="11"/>
      <c r="AM153" s="11">
        <v>23</v>
      </c>
      <c r="AN153" s="11"/>
      <c r="AO153" s="11"/>
      <c r="AP153" s="11">
        <v>80</v>
      </c>
      <c r="AQ153" s="11">
        <v>360</v>
      </c>
      <c r="AR153" s="11"/>
      <c r="AS153" s="11"/>
      <c r="AT153" s="11"/>
      <c r="AU153" s="20" t="str">
        <f>HYPERLINK("http://www.openstreetmap.org/?mlat=33.3815&amp;mlon=43.5304&amp;zoom=12#map=12/33.3815/43.5304","Maplink1")</f>
        <v>Maplink1</v>
      </c>
      <c r="AV153" s="20" t="str">
        <f>HYPERLINK("https://www.google.iq/maps/search/+33.3815,43.5304/@33.3815,43.5304,14z?hl=en","Maplink2")</f>
        <v>Maplink2</v>
      </c>
      <c r="AW153" s="20" t="str">
        <f>HYPERLINK("http://www.bing.com/maps/?lvl=14&amp;sty=h&amp;cp=33.3815~43.5304&amp;sp=point.33.3815_43.5304","Maplink3")</f>
        <v>Maplink3</v>
      </c>
    </row>
    <row r="154" spans="1:49" x14ac:dyDescent="0.25">
      <c r="A154" s="9">
        <v>23853</v>
      </c>
      <c r="B154" s="10" t="s">
        <v>8</v>
      </c>
      <c r="C154" s="10" t="s">
        <v>270</v>
      </c>
      <c r="D154" s="10" t="s">
        <v>337</v>
      </c>
      <c r="E154" s="10" t="s">
        <v>338</v>
      </c>
      <c r="F154" s="10">
        <v>33.374490000000002</v>
      </c>
      <c r="G154" s="10">
        <v>43.588979999999999</v>
      </c>
      <c r="H154" s="11">
        <v>568</v>
      </c>
      <c r="I154" s="11">
        <v>3408</v>
      </c>
      <c r="J154" s="11">
        <v>189</v>
      </c>
      <c r="K154" s="11"/>
      <c r="L154" s="11">
        <v>86</v>
      </c>
      <c r="M154" s="11"/>
      <c r="N154" s="11">
        <v>56</v>
      </c>
      <c r="O154" s="11"/>
      <c r="P154" s="11"/>
      <c r="Q154" s="11"/>
      <c r="R154" s="11">
        <v>237</v>
      </c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>
        <v>481</v>
      </c>
      <c r="AD154" s="11"/>
      <c r="AE154" s="11"/>
      <c r="AF154" s="11"/>
      <c r="AG154" s="11"/>
      <c r="AH154" s="11"/>
      <c r="AI154" s="11">
        <v>87</v>
      </c>
      <c r="AJ154" s="11"/>
      <c r="AK154" s="11"/>
      <c r="AL154" s="11"/>
      <c r="AM154" s="11">
        <v>258</v>
      </c>
      <c r="AN154" s="11">
        <v>79</v>
      </c>
      <c r="AO154" s="11"/>
      <c r="AP154" s="11">
        <v>56</v>
      </c>
      <c r="AQ154" s="11">
        <v>149</v>
      </c>
      <c r="AR154" s="11">
        <v>26</v>
      </c>
      <c r="AS154" s="11"/>
      <c r="AT154" s="11"/>
      <c r="AU154" s="20" t="str">
        <f>HYPERLINK("http://www.openstreetmap.org/?mlat=33.3745&amp;mlon=43.589&amp;zoom=12#map=12/33.3745/43.589","Maplink1")</f>
        <v>Maplink1</v>
      </c>
      <c r="AV154" s="20" t="str">
        <f>HYPERLINK("https://www.google.iq/maps/search/+33.3745,43.589/@33.3745,43.589,14z?hl=en","Maplink2")</f>
        <v>Maplink2</v>
      </c>
      <c r="AW154" s="20" t="str">
        <f>HYPERLINK("http://www.bing.com/maps/?lvl=14&amp;sty=h&amp;cp=33.3745~43.589&amp;sp=point.33.3745_43.589","Maplink3")</f>
        <v>Maplink3</v>
      </c>
    </row>
    <row r="155" spans="1:49" x14ac:dyDescent="0.25">
      <c r="A155" s="9">
        <v>21409</v>
      </c>
      <c r="B155" s="10" t="s">
        <v>8</v>
      </c>
      <c r="C155" s="10" t="s">
        <v>270</v>
      </c>
      <c r="D155" s="10" t="s">
        <v>339</v>
      </c>
      <c r="E155" s="10" t="s">
        <v>340</v>
      </c>
      <c r="F155" s="10">
        <v>33.39284</v>
      </c>
      <c r="G155" s="10">
        <v>43.507910000000003</v>
      </c>
      <c r="H155" s="11">
        <v>538</v>
      </c>
      <c r="I155" s="11">
        <v>3228</v>
      </c>
      <c r="J155" s="11">
        <v>108</v>
      </c>
      <c r="K155" s="11"/>
      <c r="L155" s="11">
        <v>205</v>
      </c>
      <c r="M155" s="11"/>
      <c r="N155" s="11"/>
      <c r="O155" s="11"/>
      <c r="P155" s="11">
        <v>90</v>
      </c>
      <c r="Q155" s="11"/>
      <c r="R155" s="11">
        <v>135</v>
      </c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>
        <v>538</v>
      </c>
      <c r="AD155" s="11"/>
      <c r="AE155" s="11"/>
      <c r="AF155" s="11"/>
      <c r="AG155" s="11"/>
      <c r="AH155" s="11"/>
      <c r="AI155" s="11"/>
      <c r="AJ155" s="11"/>
      <c r="AK155" s="11"/>
      <c r="AL155" s="11"/>
      <c r="AM155" s="11">
        <v>215</v>
      </c>
      <c r="AN155" s="11"/>
      <c r="AO155" s="11"/>
      <c r="AP155" s="11">
        <v>114</v>
      </c>
      <c r="AQ155" s="11">
        <v>197</v>
      </c>
      <c r="AR155" s="11">
        <v>12</v>
      </c>
      <c r="AS155" s="11"/>
      <c r="AT155" s="11"/>
      <c r="AU155" s="20" t="str">
        <f>HYPERLINK("http://www.openstreetmap.org/?mlat=33.3928&amp;mlon=43.5079&amp;zoom=12#map=12/33.3928/43.5079","Maplink1")</f>
        <v>Maplink1</v>
      </c>
      <c r="AV155" s="20" t="str">
        <f>HYPERLINK("https://www.google.iq/maps/search/+33.3928,43.5079/@33.3928,43.5079,14z?hl=en","Maplink2")</f>
        <v>Maplink2</v>
      </c>
      <c r="AW155" s="20" t="str">
        <f>HYPERLINK("http://www.bing.com/maps/?lvl=14&amp;sty=h&amp;cp=33.3928~43.5079&amp;sp=point.33.3928_43.5079","Maplink3")</f>
        <v>Maplink3</v>
      </c>
    </row>
    <row r="156" spans="1:49" x14ac:dyDescent="0.25">
      <c r="A156" s="9">
        <v>113</v>
      </c>
      <c r="B156" s="10" t="s">
        <v>8</v>
      </c>
      <c r="C156" s="10" t="s">
        <v>270</v>
      </c>
      <c r="D156" s="10" t="s">
        <v>341</v>
      </c>
      <c r="E156" s="10" t="s">
        <v>342</v>
      </c>
      <c r="F156" s="10">
        <v>33.419719999999998</v>
      </c>
      <c r="G156" s="10">
        <v>43.433489999999999</v>
      </c>
      <c r="H156" s="11">
        <v>1869</v>
      </c>
      <c r="I156" s="11">
        <v>11214</v>
      </c>
      <c r="J156" s="11">
        <v>965</v>
      </c>
      <c r="K156" s="11">
        <v>46</v>
      </c>
      <c r="L156" s="11">
        <v>286</v>
      </c>
      <c r="M156" s="11"/>
      <c r="N156" s="11"/>
      <c r="O156" s="11"/>
      <c r="P156" s="11">
        <v>135</v>
      </c>
      <c r="Q156" s="11"/>
      <c r="R156" s="11">
        <v>387</v>
      </c>
      <c r="S156" s="11"/>
      <c r="T156" s="11"/>
      <c r="U156" s="11"/>
      <c r="V156" s="11"/>
      <c r="W156" s="11"/>
      <c r="X156" s="11"/>
      <c r="Y156" s="11">
        <v>50</v>
      </c>
      <c r="Z156" s="11"/>
      <c r="AA156" s="11"/>
      <c r="AB156" s="11"/>
      <c r="AC156" s="11">
        <v>1869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>
        <v>108</v>
      </c>
      <c r="AN156" s="11"/>
      <c r="AO156" s="11"/>
      <c r="AP156" s="11">
        <v>536</v>
      </c>
      <c r="AQ156" s="11">
        <v>1067</v>
      </c>
      <c r="AR156" s="11">
        <v>158</v>
      </c>
      <c r="AS156" s="11"/>
      <c r="AT156" s="11"/>
      <c r="AU156" s="20" t="str">
        <f>HYPERLINK("http://www.openstreetmap.org/?mlat=33.4197&amp;mlon=43.4335&amp;zoom=12#map=12/33.4197/43.4335","Maplink1")</f>
        <v>Maplink1</v>
      </c>
      <c r="AV156" s="20" t="str">
        <f>HYPERLINK("https://www.google.iq/maps/search/+33.4197,43.4335/@33.4197,43.4335,14z?hl=en","Maplink2")</f>
        <v>Maplink2</v>
      </c>
      <c r="AW156" s="20" t="str">
        <f>HYPERLINK("http://www.bing.com/maps/?lvl=14&amp;sty=h&amp;cp=33.4197~43.4335&amp;sp=point.33.4197_43.4335","Maplink3")</f>
        <v>Maplink3</v>
      </c>
    </row>
    <row r="157" spans="1:49" x14ac:dyDescent="0.25">
      <c r="A157" s="9">
        <v>29485</v>
      </c>
      <c r="B157" s="10" t="s">
        <v>8</v>
      </c>
      <c r="C157" s="10" t="s">
        <v>270</v>
      </c>
      <c r="D157" s="10" t="s">
        <v>343</v>
      </c>
      <c r="E157" s="10" t="s">
        <v>344</v>
      </c>
      <c r="F157" s="10">
        <v>33.437010000000001</v>
      </c>
      <c r="G157" s="10">
        <v>43.396839999999997</v>
      </c>
      <c r="H157" s="11">
        <v>2009</v>
      </c>
      <c r="I157" s="11">
        <v>12054</v>
      </c>
      <c r="J157" s="11">
        <v>1637</v>
      </c>
      <c r="K157" s="11"/>
      <c r="L157" s="11">
        <v>132</v>
      </c>
      <c r="M157" s="11"/>
      <c r="N157" s="11"/>
      <c r="O157" s="11"/>
      <c r="P157" s="11"/>
      <c r="Q157" s="11"/>
      <c r="R157" s="11">
        <v>240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>
        <v>2009</v>
      </c>
      <c r="AD157" s="11"/>
      <c r="AE157" s="11"/>
      <c r="AF157" s="11"/>
      <c r="AG157" s="11"/>
      <c r="AH157" s="11"/>
      <c r="AI157" s="11"/>
      <c r="AJ157" s="11"/>
      <c r="AK157" s="11"/>
      <c r="AL157" s="11"/>
      <c r="AM157" s="11">
        <v>252</v>
      </c>
      <c r="AN157" s="11"/>
      <c r="AO157" s="11"/>
      <c r="AP157" s="11">
        <v>1417</v>
      </c>
      <c r="AQ157" s="11">
        <v>340</v>
      </c>
      <c r="AR157" s="11"/>
      <c r="AS157" s="11"/>
      <c r="AT157" s="11"/>
      <c r="AU157" s="20" t="str">
        <f>HYPERLINK("http://www.openstreetmap.org/?mlat=33.437&amp;mlon=43.3968&amp;zoom=12#map=12/33.437/43.3968","Maplink1")</f>
        <v>Maplink1</v>
      </c>
      <c r="AV157" s="20" t="str">
        <f>HYPERLINK("https://www.google.iq/maps/search/+33.437,43.3968/@33.437,43.3968,14z?hl=en","Maplink2")</f>
        <v>Maplink2</v>
      </c>
      <c r="AW157" s="20" t="str">
        <f>HYPERLINK("http://www.bing.com/maps/?lvl=14&amp;sty=h&amp;cp=33.437~43.3968&amp;sp=point.33.437_43.3968","Maplink3")</f>
        <v>Maplink3</v>
      </c>
    </row>
    <row r="158" spans="1:49" x14ac:dyDescent="0.25">
      <c r="A158" s="9">
        <v>182</v>
      </c>
      <c r="B158" s="10" t="s">
        <v>8</v>
      </c>
      <c r="C158" s="10" t="s">
        <v>270</v>
      </c>
      <c r="D158" s="10" t="s">
        <v>346</v>
      </c>
      <c r="E158" s="10" t="s">
        <v>347</v>
      </c>
      <c r="F158" s="10">
        <v>33.413330000000002</v>
      </c>
      <c r="G158" s="10">
        <v>43.276809999999998</v>
      </c>
      <c r="H158" s="11">
        <v>1638</v>
      </c>
      <c r="I158" s="11">
        <v>9828</v>
      </c>
      <c r="J158" s="11">
        <v>650</v>
      </c>
      <c r="K158" s="11"/>
      <c r="L158" s="11">
        <v>447</v>
      </c>
      <c r="M158" s="11"/>
      <c r="N158" s="11"/>
      <c r="O158" s="11"/>
      <c r="P158" s="11">
        <v>261</v>
      </c>
      <c r="Q158" s="11"/>
      <c r="R158" s="11">
        <v>230</v>
      </c>
      <c r="S158" s="11"/>
      <c r="T158" s="11"/>
      <c r="U158" s="11"/>
      <c r="V158" s="11"/>
      <c r="W158" s="11"/>
      <c r="X158" s="11"/>
      <c r="Y158" s="11">
        <v>50</v>
      </c>
      <c r="Z158" s="11"/>
      <c r="AA158" s="11"/>
      <c r="AB158" s="11"/>
      <c r="AC158" s="11">
        <v>1506</v>
      </c>
      <c r="AD158" s="11"/>
      <c r="AE158" s="11"/>
      <c r="AF158" s="11"/>
      <c r="AG158" s="11"/>
      <c r="AH158" s="11"/>
      <c r="AI158" s="11">
        <v>132</v>
      </c>
      <c r="AJ158" s="11"/>
      <c r="AK158" s="11"/>
      <c r="AL158" s="11"/>
      <c r="AM158" s="11">
        <v>1041</v>
      </c>
      <c r="AN158" s="11">
        <v>130</v>
      </c>
      <c r="AO158" s="11"/>
      <c r="AP158" s="11">
        <v>178</v>
      </c>
      <c r="AQ158" s="11">
        <v>289</v>
      </c>
      <c r="AR158" s="11"/>
      <c r="AS158" s="11"/>
      <c r="AT158" s="11"/>
      <c r="AU158" s="20" t="str">
        <f>HYPERLINK("http://www.openstreetmap.org/?mlat=33.4133&amp;mlon=43.2768&amp;zoom=12#map=12/33.4133/43.2768","Maplink1")</f>
        <v>Maplink1</v>
      </c>
      <c r="AV158" s="20" t="str">
        <f>HYPERLINK("https://www.google.iq/maps/search/+33.4133,43.2768/@33.4133,43.2768,14z?hl=en","Maplink2")</f>
        <v>Maplink2</v>
      </c>
      <c r="AW158" s="20" t="str">
        <f>HYPERLINK("http://www.bing.com/maps/?lvl=14&amp;sty=h&amp;cp=33.4133~43.2768&amp;sp=point.33.4133_43.2768","Maplink3")</f>
        <v>Maplink3</v>
      </c>
    </row>
    <row r="159" spans="1:49" x14ac:dyDescent="0.25">
      <c r="A159" s="9">
        <v>181</v>
      </c>
      <c r="B159" s="10" t="s">
        <v>8</v>
      </c>
      <c r="C159" s="10" t="s">
        <v>270</v>
      </c>
      <c r="D159" s="10" t="s">
        <v>1820</v>
      </c>
      <c r="E159" s="10" t="s">
        <v>294</v>
      </c>
      <c r="F159" s="10">
        <v>33.412170000000003</v>
      </c>
      <c r="G159" s="10">
        <v>43.043779999999998</v>
      </c>
      <c r="H159" s="11">
        <v>2511</v>
      </c>
      <c r="I159" s="11">
        <v>15066</v>
      </c>
      <c r="J159" s="11">
        <v>446</v>
      </c>
      <c r="K159" s="11"/>
      <c r="L159" s="11">
        <v>890</v>
      </c>
      <c r="M159" s="11"/>
      <c r="N159" s="11"/>
      <c r="O159" s="11"/>
      <c r="P159" s="11">
        <v>442</v>
      </c>
      <c r="Q159" s="11"/>
      <c r="R159" s="11">
        <v>435</v>
      </c>
      <c r="S159" s="11"/>
      <c r="T159" s="11"/>
      <c r="U159" s="11"/>
      <c r="V159" s="11"/>
      <c r="W159" s="11"/>
      <c r="X159" s="11"/>
      <c r="Y159" s="11">
        <v>298</v>
      </c>
      <c r="Z159" s="11"/>
      <c r="AA159" s="11"/>
      <c r="AB159" s="11"/>
      <c r="AC159" s="11">
        <v>2511</v>
      </c>
      <c r="AD159" s="11"/>
      <c r="AE159" s="11"/>
      <c r="AF159" s="11"/>
      <c r="AG159" s="11"/>
      <c r="AH159" s="11"/>
      <c r="AI159" s="11"/>
      <c r="AJ159" s="11"/>
      <c r="AK159" s="11"/>
      <c r="AL159" s="11"/>
      <c r="AM159" s="11">
        <v>637</v>
      </c>
      <c r="AN159" s="11">
        <v>371</v>
      </c>
      <c r="AO159" s="11"/>
      <c r="AP159" s="11">
        <v>853</v>
      </c>
      <c r="AQ159" s="11">
        <v>650</v>
      </c>
      <c r="AR159" s="11"/>
      <c r="AS159" s="11"/>
      <c r="AT159" s="11"/>
      <c r="AU159" s="20" t="str">
        <f>HYPERLINK("http://www.openstreetmap.org/?mlat=33.4122&amp;mlon=43.0438&amp;zoom=12#map=12/33.4122/43.0438","Maplink1")</f>
        <v>Maplink1</v>
      </c>
      <c r="AV159" s="20" t="str">
        <f>HYPERLINK("https://www.google.iq/maps/search/+33.4122,43.0438/@33.4122,43.0438,14z?hl=en","Maplink2")</f>
        <v>Maplink2</v>
      </c>
      <c r="AW159" s="20" t="str">
        <f>HYPERLINK("http://www.bing.com/maps/?lvl=14&amp;sty=h&amp;cp=33.4122~43.0438&amp;sp=point.33.4122_43.0438","Maplink3")</f>
        <v>Maplink3</v>
      </c>
    </row>
    <row r="160" spans="1:49" x14ac:dyDescent="0.25">
      <c r="A160" s="9">
        <v>20901</v>
      </c>
      <c r="B160" s="10" t="s">
        <v>8</v>
      </c>
      <c r="C160" s="10" t="s">
        <v>270</v>
      </c>
      <c r="D160" s="10" t="s">
        <v>348</v>
      </c>
      <c r="E160" s="10" t="s">
        <v>349</v>
      </c>
      <c r="F160" s="10">
        <v>33.366390000000003</v>
      </c>
      <c r="G160" s="10">
        <v>43.617139999999999</v>
      </c>
      <c r="H160" s="11">
        <v>368</v>
      </c>
      <c r="I160" s="11">
        <v>2208</v>
      </c>
      <c r="J160" s="11">
        <v>56</v>
      </c>
      <c r="K160" s="11"/>
      <c r="L160" s="11">
        <v>116</v>
      </c>
      <c r="M160" s="11"/>
      <c r="N160" s="11"/>
      <c r="O160" s="11"/>
      <c r="P160" s="11">
        <v>72</v>
      </c>
      <c r="Q160" s="11"/>
      <c r="R160" s="11">
        <v>124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>
        <v>368</v>
      </c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>
        <v>312</v>
      </c>
      <c r="AQ160" s="11">
        <v>56</v>
      </c>
      <c r="AR160" s="11"/>
      <c r="AS160" s="11"/>
      <c r="AT160" s="11"/>
      <c r="AU160" s="20" t="str">
        <f>HYPERLINK("http://www.openstreetmap.org/?mlat=33.3664&amp;mlon=43.6171&amp;zoom=12#map=12/33.3664/43.6171","Maplink1")</f>
        <v>Maplink1</v>
      </c>
      <c r="AV160" s="20" t="str">
        <f>HYPERLINK("https://www.google.iq/maps/search/+33.3664,43.6171/@33.3664,43.6171,14z?hl=en","Maplink2")</f>
        <v>Maplink2</v>
      </c>
      <c r="AW160" s="20" t="str">
        <f>HYPERLINK("http://www.bing.com/maps/?lvl=14&amp;sty=h&amp;cp=33.3664~43.6171&amp;sp=point.33.3664_43.6171","Maplink3")</f>
        <v>Maplink3</v>
      </c>
    </row>
    <row r="161" spans="1:49" x14ac:dyDescent="0.25">
      <c r="A161" s="9">
        <v>29476</v>
      </c>
      <c r="B161" s="10" t="s">
        <v>8</v>
      </c>
      <c r="C161" s="10" t="s">
        <v>270</v>
      </c>
      <c r="D161" s="10" t="s">
        <v>350</v>
      </c>
      <c r="E161" s="10" t="s">
        <v>351</v>
      </c>
      <c r="F161" s="10">
        <v>33.466479999999997</v>
      </c>
      <c r="G161" s="10">
        <v>43.043779999999998</v>
      </c>
      <c r="H161" s="11">
        <v>3799</v>
      </c>
      <c r="I161" s="11">
        <v>22794</v>
      </c>
      <c r="J161" s="11">
        <v>3518</v>
      </c>
      <c r="K161" s="11"/>
      <c r="L161" s="11"/>
      <c r="M161" s="11"/>
      <c r="N161" s="11"/>
      <c r="O161" s="11"/>
      <c r="P161" s="11"/>
      <c r="Q161" s="11"/>
      <c r="R161" s="11">
        <v>180</v>
      </c>
      <c r="S161" s="11"/>
      <c r="T161" s="11"/>
      <c r="U161" s="11"/>
      <c r="V161" s="11"/>
      <c r="W161" s="11"/>
      <c r="X161" s="11"/>
      <c r="Y161" s="11">
        <v>101</v>
      </c>
      <c r="Z161" s="11"/>
      <c r="AA161" s="11"/>
      <c r="AB161" s="11"/>
      <c r="AC161" s="11">
        <v>3799</v>
      </c>
      <c r="AD161" s="11"/>
      <c r="AE161" s="11"/>
      <c r="AF161" s="11"/>
      <c r="AG161" s="11"/>
      <c r="AH161" s="11"/>
      <c r="AI161" s="11"/>
      <c r="AJ161" s="11"/>
      <c r="AK161" s="11"/>
      <c r="AL161" s="11"/>
      <c r="AM161" s="11">
        <v>360</v>
      </c>
      <c r="AN161" s="11"/>
      <c r="AO161" s="11"/>
      <c r="AP161" s="11">
        <v>153</v>
      </c>
      <c r="AQ161" s="11">
        <v>172</v>
      </c>
      <c r="AR161" s="11">
        <v>3114</v>
      </c>
      <c r="AS161" s="11"/>
      <c r="AT161" s="11"/>
      <c r="AU161" s="20" t="str">
        <f>HYPERLINK("http://www.openstreetmap.org/?mlat=33.4665&amp;mlon=43.0438&amp;zoom=12#map=12/33.4665/43.0438","Maplink1")</f>
        <v>Maplink1</v>
      </c>
      <c r="AV161" s="20" t="str">
        <f>HYPERLINK("https://www.google.iq/maps/search/+33.4665,43.0438/@33.4665,43.0438,14z?hl=en","Maplink2")</f>
        <v>Maplink2</v>
      </c>
      <c r="AW161" s="20" t="str">
        <f>HYPERLINK("http://www.bing.com/maps/?lvl=14&amp;sty=h&amp;cp=33.4665~43.0438&amp;sp=point.33.4665_43.0438","Maplink3")</f>
        <v>Maplink3</v>
      </c>
    </row>
    <row r="162" spans="1:49" x14ac:dyDescent="0.25">
      <c r="A162" s="9">
        <v>184</v>
      </c>
      <c r="B162" s="10" t="s">
        <v>8</v>
      </c>
      <c r="C162" s="10" t="s">
        <v>270</v>
      </c>
      <c r="D162" s="10" t="s">
        <v>352</v>
      </c>
      <c r="E162" s="10" t="s">
        <v>353</v>
      </c>
      <c r="F162" s="10">
        <v>33.434019999999997</v>
      </c>
      <c r="G162" s="10">
        <v>43.275489999999998</v>
      </c>
      <c r="H162" s="11">
        <v>2378</v>
      </c>
      <c r="I162" s="11">
        <v>14268</v>
      </c>
      <c r="J162" s="11">
        <v>1014</v>
      </c>
      <c r="K162" s="11"/>
      <c r="L162" s="11">
        <v>516</v>
      </c>
      <c r="M162" s="11"/>
      <c r="N162" s="11"/>
      <c r="O162" s="11"/>
      <c r="P162" s="11">
        <v>449</v>
      </c>
      <c r="Q162" s="11"/>
      <c r="R162" s="11">
        <v>399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>
        <v>2313</v>
      </c>
      <c r="AD162" s="11"/>
      <c r="AE162" s="11"/>
      <c r="AF162" s="11"/>
      <c r="AG162" s="11"/>
      <c r="AH162" s="11"/>
      <c r="AI162" s="11">
        <v>65</v>
      </c>
      <c r="AJ162" s="11"/>
      <c r="AK162" s="11"/>
      <c r="AL162" s="11"/>
      <c r="AM162" s="11">
        <v>1209</v>
      </c>
      <c r="AN162" s="11"/>
      <c r="AO162" s="11"/>
      <c r="AP162" s="11">
        <v>411</v>
      </c>
      <c r="AQ162" s="11">
        <v>669</v>
      </c>
      <c r="AR162" s="11">
        <v>89</v>
      </c>
      <c r="AS162" s="11"/>
      <c r="AT162" s="11"/>
      <c r="AU162" s="20" t="str">
        <f>HYPERLINK("http://www.openstreetmap.org/?mlat=33.434&amp;mlon=43.2755&amp;zoom=12#map=12/33.434/43.2755","Maplink1")</f>
        <v>Maplink1</v>
      </c>
      <c r="AV162" s="20" t="str">
        <f>HYPERLINK("https://www.google.iq/maps/search/+33.434,43.2755/@33.434,43.2755,14z?hl=en","Maplink2")</f>
        <v>Maplink2</v>
      </c>
      <c r="AW162" s="20" t="str">
        <f>HYPERLINK("http://www.bing.com/maps/?lvl=14&amp;sty=h&amp;cp=33.434~43.2755&amp;sp=point.33.434_43.2755","Maplink3")</f>
        <v>Maplink3</v>
      </c>
    </row>
    <row r="163" spans="1:49" x14ac:dyDescent="0.25">
      <c r="A163" s="9">
        <v>29475</v>
      </c>
      <c r="B163" s="10" t="s">
        <v>8</v>
      </c>
      <c r="C163" s="10" t="s">
        <v>270</v>
      </c>
      <c r="D163" s="10" t="s">
        <v>354</v>
      </c>
      <c r="E163" s="10" t="s">
        <v>355</v>
      </c>
      <c r="F163" s="10">
        <v>33.480319999999999</v>
      </c>
      <c r="G163" s="10">
        <v>43.157290000000003</v>
      </c>
      <c r="H163" s="11">
        <v>5509</v>
      </c>
      <c r="I163" s="11">
        <v>33054</v>
      </c>
      <c r="J163" s="11">
        <v>4931</v>
      </c>
      <c r="K163" s="11"/>
      <c r="L163" s="11"/>
      <c r="M163" s="11"/>
      <c r="N163" s="11"/>
      <c r="O163" s="11"/>
      <c r="P163" s="11">
        <v>100</v>
      </c>
      <c r="Q163" s="11"/>
      <c r="R163" s="11">
        <v>228</v>
      </c>
      <c r="S163" s="11"/>
      <c r="T163" s="11"/>
      <c r="U163" s="11"/>
      <c r="V163" s="11"/>
      <c r="W163" s="11"/>
      <c r="X163" s="11"/>
      <c r="Y163" s="11">
        <v>250</v>
      </c>
      <c r="Z163" s="11"/>
      <c r="AA163" s="11"/>
      <c r="AB163" s="11"/>
      <c r="AC163" s="11">
        <v>5509</v>
      </c>
      <c r="AD163" s="11"/>
      <c r="AE163" s="11"/>
      <c r="AF163" s="11"/>
      <c r="AG163" s="11"/>
      <c r="AH163" s="11"/>
      <c r="AI163" s="11"/>
      <c r="AJ163" s="11"/>
      <c r="AK163" s="11"/>
      <c r="AL163" s="11"/>
      <c r="AM163" s="11">
        <v>344</v>
      </c>
      <c r="AN163" s="11"/>
      <c r="AO163" s="11"/>
      <c r="AP163" s="11">
        <v>257</v>
      </c>
      <c r="AQ163" s="11">
        <v>538</v>
      </c>
      <c r="AR163" s="11">
        <v>4370</v>
      </c>
      <c r="AS163" s="11"/>
      <c r="AT163" s="11"/>
      <c r="AU163" s="20" t="str">
        <f>HYPERLINK("http://www.openstreetmap.org/?mlat=33.4803&amp;mlon=43.1573&amp;zoom=12#map=12/33.4803/43.1573","Maplink1")</f>
        <v>Maplink1</v>
      </c>
      <c r="AV163" s="20" t="str">
        <f>HYPERLINK("https://www.google.iq/maps/search/+33.4803,43.1573/@33.4803,43.1573,14z?hl=en","Maplink2")</f>
        <v>Maplink2</v>
      </c>
      <c r="AW163" s="20" t="str">
        <f>HYPERLINK("http://www.bing.com/maps/?lvl=14&amp;sty=h&amp;cp=33.4803~43.1573&amp;sp=point.33.4803_43.1573","Maplink3")</f>
        <v>Maplink3</v>
      </c>
    </row>
    <row r="164" spans="1:49" x14ac:dyDescent="0.25">
      <c r="A164" s="9">
        <v>23856</v>
      </c>
      <c r="B164" s="10" t="s">
        <v>8</v>
      </c>
      <c r="C164" s="10" t="s">
        <v>270</v>
      </c>
      <c r="D164" s="10" t="s">
        <v>1821</v>
      </c>
      <c r="E164" s="10" t="s">
        <v>356</v>
      </c>
      <c r="F164" s="10">
        <v>33.383929999999999</v>
      </c>
      <c r="G164" s="10">
        <v>43.604190000000003</v>
      </c>
      <c r="H164" s="11">
        <v>536</v>
      </c>
      <c r="I164" s="11">
        <v>3216</v>
      </c>
      <c r="J164" s="11">
        <v>318</v>
      </c>
      <c r="K164" s="11"/>
      <c r="L164" s="11"/>
      <c r="M164" s="11"/>
      <c r="N164" s="11"/>
      <c r="O164" s="11"/>
      <c r="P164" s="11"/>
      <c r="Q164" s="11"/>
      <c r="R164" s="11">
        <v>218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>
        <v>471</v>
      </c>
      <c r="AD164" s="11"/>
      <c r="AE164" s="11"/>
      <c r="AF164" s="11"/>
      <c r="AG164" s="11"/>
      <c r="AH164" s="11"/>
      <c r="AI164" s="11">
        <v>65</v>
      </c>
      <c r="AJ164" s="11"/>
      <c r="AK164" s="11"/>
      <c r="AL164" s="11"/>
      <c r="AM164" s="11"/>
      <c r="AN164" s="11"/>
      <c r="AO164" s="11"/>
      <c r="AP164" s="11">
        <v>218</v>
      </c>
      <c r="AQ164" s="11">
        <v>250</v>
      </c>
      <c r="AR164" s="11">
        <v>68</v>
      </c>
      <c r="AS164" s="11"/>
      <c r="AT164" s="11"/>
      <c r="AU164" s="20" t="str">
        <f>HYPERLINK("http://www.openstreetmap.org/?mlat=33.3839&amp;mlon=43.6042&amp;zoom=12#map=12/33.3839/43.6042","Maplink1")</f>
        <v>Maplink1</v>
      </c>
      <c r="AV164" s="20" t="str">
        <f>HYPERLINK("https://www.google.iq/maps/search/+33.3839,43.6042/@33.3839,43.6042,14z?hl=en","Maplink2")</f>
        <v>Maplink2</v>
      </c>
      <c r="AW164" s="20" t="str">
        <f>HYPERLINK("http://www.bing.com/maps/?lvl=14&amp;sty=h&amp;cp=33.3839~43.6042&amp;sp=point.33.3839_43.6042","Maplink3")</f>
        <v>Maplink3</v>
      </c>
    </row>
    <row r="165" spans="1:49" x14ac:dyDescent="0.25">
      <c r="A165" s="9">
        <v>29494</v>
      </c>
      <c r="B165" s="10" t="s">
        <v>10</v>
      </c>
      <c r="C165" s="10" t="s">
        <v>357</v>
      </c>
      <c r="D165" s="10" t="s">
        <v>358</v>
      </c>
      <c r="E165" s="10" t="s">
        <v>359</v>
      </c>
      <c r="F165" s="10">
        <v>33.426241383799997</v>
      </c>
      <c r="G165" s="10">
        <v>44.061354033500002</v>
      </c>
      <c r="H165" s="11">
        <v>28</v>
      </c>
      <c r="I165" s="11">
        <v>168</v>
      </c>
      <c r="J165" s="11"/>
      <c r="K165" s="11"/>
      <c r="L165" s="11">
        <v>28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>
        <v>28</v>
      </c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>
        <v>28</v>
      </c>
      <c r="AP165" s="11"/>
      <c r="AQ165" s="11"/>
      <c r="AR165" s="11"/>
      <c r="AS165" s="11"/>
      <c r="AT165" s="11"/>
      <c r="AU165" s="20" t="str">
        <f>HYPERLINK("http://www.openstreetmap.org/?mlat=33.4262&amp;mlon=44.0614&amp;zoom=12#map=12/33.4262/44.0614","Maplink1")</f>
        <v>Maplink1</v>
      </c>
      <c r="AV165" s="20" t="str">
        <f>HYPERLINK("https://www.google.iq/maps/search/+33.4262,44.0614/@33.4262,44.0614,14z?hl=en","Maplink2")</f>
        <v>Maplink2</v>
      </c>
      <c r="AW165" s="20" t="str">
        <f>HYPERLINK("http://www.bing.com/maps/?lvl=14&amp;sty=h&amp;cp=33.4262~44.0614&amp;sp=point.33.4262_44.0614","Maplink3")</f>
        <v>Maplink3</v>
      </c>
    </row>
    <row r="166" spans="1:49" x14ac:dyDescent="0.25">
      <c r="A166" s="47">
        <v>32039</v>
      </c>
      <c r="B166" s="10" t="s">
        <v>10</v>
      </c>
      <c r="C166" s="10" t="s">
        <v>357</v>
      </c>
      <c r="D166" s="10" t="s">
        <v>360</v>
      </c>
      <c r="E166" s="10" t="s">
        <v>361</v>
      </c>
      <c r="F166" s="10">
        <v>33.261667000000003</v>
      </c>
      <c r="G166" s="10">
        <v>43.871274999999997</v>
      </c>
      <c r="H166" s="11">
        <v>122</v>
      </c>
      <c r="I166" s="11">
        <v>732</v>
      </c>
      <c r="J166" s="11"/>
      <c r="K166" s="11"/>
      <c r="L166" s="11">
        <v>122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>
        <v>122</v>
      </c>
      <c r="AD166" s="11"/>
      <c r="AE166" s="11"/>
      <c r="AF166" s="11"/>
      <c r="AG166" s="11"/>
      <c r="AH166" s="11"/>
      <c r="AI166" s="11"/>
      <c r="AJ166" s="11"/>
      <c r="AK166" s="11"/>
      <c r="AL166" s="11"/>
      <c r="AM166" s="11">
        <v>122</v>
      </c>
      <c r="AN166" s="11"/>
      <c r="AO166" s="11"/>
      <c r="AP166" s="11"/>
      <c r="AQ166" s="11"/>
      <c r="AR166" s="11"/>
      <c r="AS166" s="11"/>
      <c r="AT166" s="11"/>
      <c r="AU166" s="20" t="str">
        <f>HYPERLINK("http://www.openstreetmap.org/?mlat=33.2617&amp;mlon=43.8713&amp;zoom=12#map=12/33.2617/43.8713","Maplink1")</f>
        <v>Maplink1</v>
      </c>
      <c r="AV166" s="20" t="str">
        <f>HYPERLINK("https://www.google.iq/maps/search/+33.2617,43.8713/@33.2617,43.8713,14z?hl=en","Maplink2")</f>
        <v>Maplink2</v>
      </c>
      <c r="AW166" s="20" t="str">
        <f>HYPERLINK("http://www.bing.com/maps/?lvl=14&amp;sty=h&amp;cp=33.2617~43.8713&amp;sp=point.33.2617_43.8713","Maplink3")</f>
        <v>Maplink3</v>
      </c>
    </row>
    <row r="167" spans="1:49" x14ac:dyDescent="0.25">
      <c r="A167" s="9">
        <v>32038</v>
      </c>
      <c r="B167" s="10" t="s">
        <v>10</v>
      </c>
      <c r="C167" s="10" t="s">
        <v>357</v>
      </c>
      <c r="D167" s="10" t="s">
        <v>362</v>
      </c>
      <c r="E167" s="10" t="s">
        <v>363</v>
      </c>
      <c r="F167" s="10">
        <v>33.265251999999997</v>
      </c>
      <c r="G167" s="10">
        <v>43.924182999999999</v>
      </c>
      <c r="H167" s="11">
        <v>112</v>
      </c>
      <c r="I167" s="11">
        <v>672</v>
      </c>
      <c r="J167" s="11"/>
      <c r="K167" s="11"/>
      <c r="L167" s="11">
        <v>89</v>
      </c>
      <c r="M167" s="11"/>
      <c r="N167" s="11"/>
      <c r="O167" s="11"/>
      <c r="P167" s="11">
        <v>23</v>
      </c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>
        <v>112</v>
      </c>
      <c r="AD167" s="11"/>
      <c r="AE167" s="11"/>
      <c r="AF167" s="11"/>
      <c r="AG167" s="11"/>
      <c r="AH167" s="11"/>
      <c r="AI167" s="11"/>
      <c r="AJ167" s="11"/>
      <c r="AK167" s="11"/>
      <c r="AL167" s="11"/>
      <c r="AM167" s="11">
        <v>112</v>
      </c>
      <c r="AN167" s="11"/>
      <c r="AO167" s="11"/>
      <c r="AP167" s="11"/>
      <c r="AQ167" s="11"/>
      <c r="AR167" s="11"/>
      <c r="AS167" s="11"/>
      <c r="AT167" s="11"/>
      <c r="AU167" s="20" t="str">
        <f>HYPERLINK("http://www.openstreetmap.org/?mlat=33.2653&amp;mlon=43.9242&amp;zoom=12#map=12/33.2653/43.9242","Maplink1")</f>
        <v>Maplink1</v>
      </c>
      <c r="AV167" s="20" t="str">
        <f>HYPERLINK("https://www.google.iq/maps/search/+33.2653,43.9242/@33.2653,43.9242,14z?hl=en","Maplink2")</f>
        <v>Maplink2</v>
      </c>
      <c r="AW167" s="20" t="str">
        <f>HYPERLINK("http://www.bing.com/maps/?lvl=14&amp;sty=h&amp;cp=33.2653~43.9242&amp;sp=point.33.2653_43.9242","Maplink3")</f>
        <v>Maplink3</v>
      </c>
    </row>
    <row r="168" spans="1:49" x14ac:dyDescent="0.25">
      <c r="A168" s="9">
        <v>29497</v>
      </c>
      <c r="B168" s="10" t="s">
        <v>10</v>
      </c>
      <c r="C168" s="10" t="s">
        <v>357</v>
      </c>
      <c r="D168" s="10" t="s">
        <v>364</v>
      </c>
      <c r="E168" s="10" t="s">
        <v>365</v>
      </c>
      <c r="F168" s="10">
        <v>33.389071790000003</v>
      </c>
      <c r="G168" s="10">
        <v>44.125756599900001</v>
      </c>
      <c r="H168" s="11">
        <v>39</v>
      </c>
      <c r="I168" s="11">
        <v>234</v>
      </c>
      <c r="J168" s="11"/>
      <c r="K168" s="11"/>
      <c r="L168" s="11">
        <v>39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>
        <v>39</v>
      </c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>
        <v>39</v>
      </c>
      <c r="AQ168" s="11"/>
      <c r="AR168" s="11"/>
      <c r="AS168" s="11"/>
      <c r="AT168" s="11"/>
      <c r="AU168" s="20" t="str">
        <f>HYPERLINK("http://www.openstreetmap.org/?mlat=33.3891&amp;mlon=44.1258&amp;zoom=12#map=12/33.3891/44.1258","Maplink1")</f>
        <v>Maplink1</v>
      </c>
      <c r="AV168" s="20" t="str">
        <f>HYPERLINK("https://www.google.iq/maps/search/+33.3891,44.1258/@33.3891,44.1258,14z?hl=en","Maplink2")</f>
        <v>Maplink2</v>
      </c>
      <c r="AW168" s="20" t="str">
        <f>HYPERLINK("http://www.bing.com/maps/?lvl=14&amp;sty=h&amp;cp=33.3891~44.1258&amp;sp=point.33.3891_44.1258","Maplink3")</f>
        <v>Maplink3</v>
      </c>
    </row>
    <row r="169" spans="1:49" x14ac:dyDescent="0.25">
      <c r="A169" s="9">
        <v>32037</v>
      </c>
      <c r="B169" s="10" t="s">
        <v>10</v>
      </c>
      <c r="C169" s="10" t="s">
        <v>357</v>
      </c>
      <c r="D169" s="10" t="s">
        <v>366</v>
      </c>
      <c r="E169" s="10" t="s">
        <v>367</v>
      </c>
      <c r="F169" s="10">
        <v>33.257370000000002</v>
      </c>
      <c r="G169" s="10">
        <v>44.034871000000003</v>
      </c>
      <c r="H169" s="11">
        <v>114</v>
      </c>
      <c r="I169" s="11">
        <v>684</v>
      </c>
      <c r="J169" s="11"/>
      <c r="K169" s="11"/>
      <c r="L169" s="11">
        <v>114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>
        <v>114</v>
      </c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>
        <v>114</v>
      </c>
      <c r="AQ169" s="11"/>
      <c r="AR169" s="11"/>
      <c r="AS169" s="11"/>
      <c r="AT169" s="11"/>
      <c r="AU169" s="20" t="str">
        <f>HYPERLINK("http://www.openstreetmap.org/?mlat=33.2574&amp;mlon=44.0349&amp;zoom=12#map=12/33.2574/44.0349","Maplink1")</f>
        <v>Maplink1</v>
      </c>
      <c r="AV169" s="20" t="str">
        <f>HYPERLINK("https://www.google.iq/maps/search/+33.2574,44.0349/@33.2574,44.0349,14z?hl=en","Maplink2")</f>
        <v>Maplink2</v>
      </c>
      <c r="AW169" s="20" t="str">
        <f>HYPERLINK("http://www.bing.com/maps/?lvl=14&amp;sty=h&amp;cp=33.2574~44.0349&amp;sp=point.33.2574_44.0349","Maplink3")</f>
        <v>Maplink3</v>
      </c>
    </row>
    <row r="170" spans="1:49" x14ac:dyDescent="0.25">
      <c r="A170" s="9">
        <v>29531</v>
      </c>
      <c r="B170" s="10" t="s">
        <v>10</v>
      </c>
      <c r="C170" s="10" t="s">
        <v>357</v>
      </c>
      <c r="D170" s="10" t="s">
        <v>368</v>
      </c>
      <c r="E170" s="10" t="s">
        <v>369</v>
      </c>
      <c r="F170" s="10">
        <v>33.2170995197</v>
      </c>
      <c r="G170" s="10">
        <v>43.9468792523</v>
      </c>
      <c r="H170" s="11">
        <v>76</v>
      </c>
      <c r="I170" s="11">
        <v>456</v>
      </c>
      <c r="J170" s="11"/>
      <c r="K170" s="11"/>
      <c r="L170" s="11">
        <v>76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>
        <v>76</v>
      </c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>
        <v>33</v>
      </c>
      <c r="AP170" s="11">
        <v>43</v>
      </c>
      <c r="AQ170" s="11"/>
      <c r="AR170" s="11"/>
      <c r="AS170" s="11"/>
      <c r="AT170" s="11"/>
      <c r="AU170" s="20" t="str">
        <f>HYPERLINK("http://www.openstreetmap.org/?mlat=33.2171&amp;mlon=43.9469&amp;zoom=12#map=12/33.2171/43.9469","Maplink1")</f>
        <v>Maplink1</v>
      </c>
      <c r="AV170" s="20" t="str">
        <f>HYPERLINK("https://www.google.iq/maps/search/+33.2171,43.9469/@33.2171,43.9469,14z?hl=en","Maplink2")</f>
        <v>Maplink2</v>
      </c>
      <c r="AW170" s="20" t="str">
        <f>HYPERLINK("http://www.bing.com/maps/?lvl=14&amp;sty=h&amp;cp=33.2171~43.9469&amp;sp=point.33.2171_43.9469","Maplink3")</f>
        <v>Maplink3</v>
      </c>
    </row>
    <row r="171" spans="1:49" x14ac:dyDescent="0.25">
      <c r="A171" s="9">
        <v>32095</v>
      </c>
      <c r="B171" s="10" t="s">
        <v>10</v>
      </c>
      <c r="C171" s="10" t="s">
        <v>357</v>
      </c>
      <c r="D171" s="10" t="s">
        <v>370</v>
      </c>
      <c r="E171" s="10" t="s">
        <v>1579</v>
      </c>
      <c r="F171" s="10">
        <v>33.264707999999999</v>
      </c>
      <c r="G171" s="10">
        <v>44.059356999999999</v>
      </c>
      <c r="H171" s="11">
        <v>174</v>
      </c>
      <c r="I171" s="11">
        <v>1044</v>
      </c>
      <c r="J171" s="11"/>
      <c r="K171" s="11"/>
      <c r="L171" s="11">
        <v>174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>
        <v>174</v>
      </c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>
        <v>55</v>
      </c>
      <c r="AP171" s="11">
        <v>119</v>
      </c>
      <c r="AQ171" s="11"/>
      <c r="AR171" s="11"/>
      <c r="AS171" s="11"/>
      <c r="AT171" s="11"/>
      <c r="AU171" s="20" t="str">
        <f>HYPERLINK("http://www.openstreetmap.org/?mlat=33.2647&amp;mlon=44.0594&amp;zoom=12#map=12/33.2647/44.0594","Maplink1")</f>
        <v>Maplink1</v>
      </c>
      <c r="AV171" s="20" t="str">
        <f>HYPERLINK("https://www.google.iq/maps/search/+33.2647,44.0594/@33.2647,44.0594,14z?hl=en","Maplink2")</f>
        <v>Maplink2</v>
      </c>
      <c r="AW171" s="20" t="str">
        <f>HYPERLINK("http://www.bing.com/maps/?lvl=14&amp;sty=h&amp;cp=33.2647~44.0594&amp;sp=point.33.2647_44.0594","Maplink3")</f>
        <v>Maplink3</v>
      </c>
    </row>
    <row r="172" spans="1:49" x14ac:dyDescent="0.25">
      <c r="A172" s="9">
        <v>31719</v>
      </c>
      <c r="B172" s="10" t="s">
        <v>10</v>
      </c>
      <c r="C172" s="10" t="s">
        <v>357</v>
      </c>
      <c r="D172" s="10" t="s">
        <v>371</v>
      </c>
      <c r="E172" s="10" t="s">
        <v>372</v>
      </c>
      <c r="F172" s="10">
        <v>33.394005999999997</v>
      </c>
      <c r="G172" s="10">
        <v>44.038893999999999</v>
      </c>
      <c r="H172" s="11">
        <v>200</v>
      </c>
      <c r="I172" s="11">
        <v>1200</v>
      </c>
      <c r="J172" s="11"/>
      <c r="K172" s="11"/>
      <c r="L172" s="11">
        <v>200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>
        <v>200</v>
      </c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>
        <v>200</v>
      </c>
      <c r="AQ172" s="11"/>
      <c r="AR172" s="11"/>
      <c r="AS172" s="11"/>
      <c r="AT172" s="11"/>
      <c r="AU172" s="20" t="str">
        <f>HYPERLINK("http://www.openstreetmap.org/?mlat=33.394&amp;mlon=44.0389&amp;zoom=12#map=12/33.394/44.0389","Maplink1")</f>
        <v>Maplink1</v>
      </c>
      <c r="AV172" s="20" t="str">
        <f>HYPERLINK("https://www.google.iq/maps/search/+33.394,44.0389/@33.394,44.0389,14z?hl=en","Maplink2")</f>
        <v>Maplink2</v>
      </c>
      <c r="AW172" s="20" t="str">
        <f>HYPERLINK("http://www.bing.com/maps/?lvl=14&amp;sty=h&amp;cp=33.394~44.0389&amp;sp=point.33.394_44.0389","Maplink3")</f>
        <v>Maplink3</v>
      </c>
    </row>
    <row r="173" spans="1:49" x14ac:dyDescent="0.25">
      <c r="A173" s="9">
        <v>29498</v>
      </c>
      <c r="B173" s="10" t="s">
        <v>10</v>
      </c>
      <c r="C173" s="10" t="s">
        <v>357</v>
      </c>
      <c r="D173" s="10" t="s">
        <v>373</v>
      </c>
      <c r="E173" s="10" t="s">
        <v>374</v>
      </c>
      <c r="F173" s="10">
        <v>33.408180451100002</v>
      </c>
      <c r="G173" s="10">
        <v>44.083914113200002</v>
      </c>
      <c r="H173" s="11">
        <v>25</v>
      </c>
      <c r="I173" s="11">
        <v>150</v>
      </c>
      <c r="J173" s="11"/>
      <c r="K173" s="11"/>
      <c r="L173" s="11">
        <v>25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>
        <v>25</v>
      </c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>
        <v>25</v>
      </c>
      <c r="AQ173" s="11"/>
      <c r="AR173" s="11"/>
      <c r="AS173" s="11"/>
      <c r="AT173" s="11"/>
      <c r="AU173" s="20" t="str">
        <f>HYPERLINK("http://www.openstreetmap.org/?mlat=33.4082&amp;mlon=44.0839&amp;zoom=12#map=12/33.4082/44.0839","Maplink1")</f>
        <v>Maplink1</v>
      </c>
      <c r="AV173" s="20" t="str">
        <f>HYPERLINK("https://www.google.iq/maps/search/+33.4082,44.0839/@33.4082,44.0839,14z?hl=en","Maplink2")</f>
        <v>Maplink2</v>
      </c>
      <c r="AW173" s="20" t="str">
        <f>HYPERLINK("http://www.bing.com/maps/?lvl=14&amp;sty=h&amp;cp=33.4082~44.0839&amp;sp=point.33.4082_44.0839","Maplink3")</f>
        <v>Maplink3</v>
      </c>
    </row>
    <row r="174" spans="1:49" x14ac:dyDescent="0.25">
      <c r="A174" s="9">
        <v>32034</v>
      </c>
      <c r="B174" s="10" t="s">
        <v>10</v>
      </c>
      <c r="C174" s="10" t="s">
        <v>357</v>
      </c>
      <c r="D174" s="10" t="s">
        <v>375</v>
      </c>
      <c r="E174" s="10" t="s">
        <v>376</v>
      </c>
      <c r="F174" s="10">
        <v>33.193247999999997</v>
      </c>
      <c r="G174" s="10">
        <v>43.996785000000003</v>
      </c>
      <c r="H174" s="11">
        <v>92</v>
      </c>
      <c r="I174" s="11">
        <v>552</v>
      </c>
      <c r="J174" s="11"/>
      <c r="K174" s="11"/>
      <c r="L174" s="11">
        <v>70</v>
      </c>
      <c r="M174" s="11"/>
      <c r="N174" s="11"/>
      <c r="O174" s="11"/>
      <c r="P174" s="11">
        <v>22</v>
      </c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>
        <v>92</v>
      </c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>
        <v>92</v>
      </c>
      <c r="AQ174" s="11"/>
      <c r="AR174" s="11"/>
      <c r="AS174" s="11"/>
      <c r="AT174" s="11"/>
      <c r="AU174" s="20" t="str">
        <f>HYPERLINK("http://www.openstreetmap.org/?mlat=33.1932&amp;mlon=43.9968&amp;zoom=12#map=12/33.1932/43.9968","Maplink1")</f>
        <v>Maplink1</v>
      </c>
      <c r="AV174" s="20" t="str">
        <f>HYPERLINK("https://www.google.iq/maps/search/+33.1932,43.9968/@33.1932,43.9968,14z?hl=en","Maplink2")</f>
        <v>Maplink2</v>
      </c>
      <c r="AW174" s="20" t="str">
        <f>HYPERLINK("http://www.bing.com/maps/?lvl=14&amp;sty=h&amp;cp=33.1932~43.9968&amp;sp=point.33.1932_43.9968","Maplink3")</f>
        <v>Maplink3</v>
      </c>
    </row>
    <row r="175" spans="1:49" x14ac:dyDescent="0.25">
      <c r="A175" s="9">
        <v>6378</v>
      </c>
      <c r="B175" s="10" t="s">
        <v>10</v>
      </c>
      <c r="C175" s="10" t="s">
        <v>357</v>
      </c>
      <c r="D175" s="10" t="s">
        <v>2075</v>
      </c>
      <c r="E175" s="10" t="s">
        <v>2076</v>
      </c>
      <c r="F175" s="10">
        <v>33.272781000000002</v>
      </c>
      <c r="G175" s="10">
        <v>43.911341999999998</v>
      </c>
      <c r="H175" s="11">
        <v>180</v>
      </c>
      <c r="I175" s="11">
        <v>1080</v>
      </c>
      <c r="J175" s="11"/>
      <c r="K175" s="11"/>
      <c r="L175" s="11">
        <v>180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>
        <v>180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>
        <v>180</v>
      </c>
      <c r="AQ175" s="11"/>
      <c r="AR175" s="11"/>
      <c r="AS175" s="11"/>
      <c r="AT175" s="11"/>
      <c r="AU175" s="20" t="str">
        <f>HYPERLINK("http://www.openstreetmap.org/?mlat=33.2728&amp;mlon=43.9113&amp;zoom=12#map=12/33.2728/43.9113","Maplink1")</f>
        <v>Maplink1</v>
      </c>
      <c r="AV175" s="20" t="str">
        <f>HYPERLINK("https://www.google.iq/maps/search/+33.2728,43.9113/@33.2728,43.9113,14z?hl=en","Maplink2")</f>
        <v>Maplink2</v>
      </c>
      <c r="AW175" s="20" t="str">
        <f>HYPERLINK("http://www.bing.com/maps/?lvl=14&amp;sty=h&amp;cp=33.2728~43.9113&amp;sp=point.33.2728_43.9113","Maplink3")</f>
        <v>Maplink3</v>
      </c>
    </row>
    <row r="176" spans="1:49" x14ac:dyDescent="0.25">
      <c r="A176" s="9">
        <v>29495</v>
      </c>
      <c r="B176" s="10" t="s">
        <v>10</v>
      </c>
      <c r="C176" s="10" t="s">
        <v>357</v>
      </c>
      <c r="D176" s="10" t="s">
        <v>377</v>
      </c>
      <c r="E176" s="10" t="s">
        <v>378</v>
      </c>
      <c r="F176" s="10">
        <v>33.413400000000003</v>
      </c>
      <c r="G176" s="10">
        <v>44.060600000000001</v>
      </c>
      <c r="H176" s="11">
        <v>37</v>
      </c>
      <c r="I176" s="11">
        <v>222</v>
      </c>
      <c r="J176" s="11"/>
      <c r="K176" s="11"/>
      <c r="L176" s="11">
        <v>37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>
        <v>37</v>
      </c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>
        <v>37</v>
      </c>
      <c r="AP176" s="11"/>
      <c r="AQ176" s="11"/>
      <c r="AR176" s="11"/>
      <c r="AS176" s="11"/>
      <c r="AT176" s="11"/>
      <c r="AU176" s="20" t="str">
        <f>HYPERLINK("http://www.openstreetmap.org/?mlat=33.4134&amp;mlon=44.0606&amp;zoom=12#map=12/33.4134/44.0606","Maplink1")</f>
        <v>Maplink1</v>
      </c>
      <c r="AV176" s="20" t="str">
        <f>HYPERLINK("https://www.google.iq/maps/search/+33.4134,44.0606/@33.4134,44.0606,14z?hl=en","Maplink2")</f>
        <v>Maplink2</v>
      </c>
      <c r="AW176" s="20" t="str">
        <f>HYPERLINK("http://www.bing.com/maps/?lvl=14&amp;sty=h&amp;cp=33.4134~44.0606&amp;sp=point.33.4134_44.0606","Maplink3")</f>
        <v>Maplink3</v>
      </c>
    </row>
    <row r="177" spans="1:49" x14ac:dyDescent="0.25">
      <c r="A177" s="9">
        <v>29529</v>
      </c>
      <c r="B177" s="10" t="s">
        <v>10</v>
      </c>
      <c r="C177" s="10" t="s">
        <v>357</v>
      </c>
      <c r="D177" s="10" t="s">
        <v>379</v>
      </c>
      <c r="E177" s="10" t="s">
        <v>380</v>
      </c>
      <c r="F177" s="10">
        <v>33.220599444999998</v>
      </c>
      <c r="G177" s="10">
        <v>43.924572418399997</v>
      </c>
      <c r="H177" s="11">
        <v>400</v>
      </c>
      <c r="I177" s="11">
        <v>2400</v>
      </c>
      <c r="J177" s="11"/>
      <c r="K177" s="11"/>
      <c r="L177" s="11">
        <v>400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>
        <v>400</v>
      </c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400</v>
      </c>
      <c r="AQ177" s="11"/>
      <c r="AR177" s="11"/>
      <c r="AS177" s="11"/>
      <c r="AT177" s="11"/>
      <c r="AU177" s="20" t="str">
        <f>HYPERLINK("http://www.openstreetmap.org/?mlat=33.2206&amp;mlon=43.9246&amp;zoom=12#map=12/33.2206/43.9246","Maplink1")</f>
        <v>Maplink1</v>
      </c>
      <c r="AV177" s="20" t="str">
        <f>HYPERLINK("https://www.google.iq/maps/search/+33.2206,43.9246/@33.2206,43.9246,14z?hl=en","Maplink2")</f>
        <v>Maplink2</v>
      </c>
      <c r="AW177" s="20" t="str">
        <f>HYPERLINK("http://www.bing.com/maps/?lvl=14&amp;sty=h&amp;cp=33.2206~43.9246&amp;sp=point.33.2206_43.9246","Maplink3")</f>
        <v>Maplink3</v>
      </c>
    </row>
    <row r="178" spans="1:49" x14ac:dyDescent="0.25">
      <c r="A178" s="9">
        <v>32036</v>
      </c>
      <c r="B178" s="10" t="s">
        <v>10</v>
      </c>
      <c r="C178" s="10" t="s">
        <v>357</v>
      </c>
      <c r="D178" s="10" t="s">
        <v>381</v>
      </c>
      <c r="E178" s="10" t="s">
        <v>382</v>
      </c>
      <c r="F178" s="10">
        <v>33.234014999999999</v>
      </c>
      <c r="G178" s="10">
        <v>43.915025</v>
      </c>
      <c r="H178" s="11">
        <v>132</v>
      </c>
      <c r="I178" s="11">
        <v>792</v>
      </c>
      <c r="J178" s="11"/>
      <c r="K178" s="11"/>
      <c r="L178" s="11">
        <v>108</v>
      </c>
      <c r="M178" s="11"/>
      <c r="N178" s="11"/>
      <c r="O178" s="11"/>
      <c r="P178" s="11">
        <v>24</v>
      </c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>
        <v>132</v>
      </c>
      <c r="AD178" s="11"/>
      <c r="AE178" s="11"/>
      <c r="AF178" s="11"/>
      <c r="AG178" s="11"/>
      <c r="AH178" s="11"/>
      <c r="AI178" s="11"/>
      <c r="AJ178" s="11"/>
      <c r="AK178" s="11"/>
      <c r="AL178" s="11"/>
      <c r="AM178" s="11">
        <v>83</v>
      </c>
      <c r="AN178" s="11"/>
      <c r="AO178" s="11"/>
      <c r="AP178" s="11">
        <v>49</v>
      </c>
      <c r="AQ178" s="11"/>
      <c r="AR178" s="11"/>
      <c r="AS178" s="11"/>
      <c r="AT178" s="11"/>
      <c r="AU178" s="20" t="str">
        <f>HYPERLINK("http://www.openstreetmap.org/?mlat=33.234&amp;mlon=43.915&amp;zoom=12#map=12/33.234/43.915","Maplink1")</f>
        <v>Maplink1</v>
      </c>
      <c r="AV178" s="20" t="str">
        <f>HYPERLINK("https://www.google.iq/maps/search/+33.234,43.915/@33.234,43.915,14z?hl=en","Maplink2")</f>
        <v>Maplink2</v>
      </c>
      <c r="AW178" s="20" t="str">
        <f>HYPERLINK("http://www.bing.com/maps/?lvl=14&amp;sty=h&amp;cp=33.234~43.915&amp;sp=point.33.234_43.915","Maplink3")</f>
        <v>Maplink3</v>
      </c>
    </row>
    <row r="179" spans="1:49" x14ac:dyDescent="0.25">
      <c r="A179" s="9">
        <v>33101</v>
      </c>
      <c r="B179" s="10" t="s">
        <v>10</v>
      </c>
      <c r="C179" s="10" t="s">
        <v>357</v>
      </c>
      <c r="D179" s="10" t="s">
        <v>1580</v>
      </c>
      <c r="E179" s="10" t="s">
        <v>1581</v>
      </c>
      <c r="F179" s="10">
        <v>33.193179000000001</v>
      </c>
      <c r="G179" s="10">
        <v>43.972721999999997</v>
      </c>
      <c r="H179" s="11">
        <v>117</v>
      </c>
      <c r="I179" s="11">
        <v>702</v>
      </c>
      <c r="J179" s="11"/>
      <c r="K179" s="11"/>
      <c r="L179" s="11">
        <v>117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>
        <v>117</v>
      </c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>
        <v>117</v>
      </c>
      <c r="AQ179" s="11"/>
      <c r="AR179" s="11"/>
      <c r="AS179" s="11"/>
      <c r="AT179" s="11"/>
      <c r="AU179" s="20" t="str">
        <f>HYPERLINK("http://www.openstreetmap.org/?mlat=33.1932&amp;mlon=43.9727&amp;zoom=12#map=12/33.1932/43.9727","Maplink1")</f>
        <v>Maplink1</v>
      </c>
      <c r="AV179" s="20" t="str">
        <f>HYPERLINK("https://www.google.iq/maps/search/+33.1932,43.9727/@33.1932,43.9727,14z?hl=en","Maplink2")</f>
        <v>Maplink2</v>
      </c>
      <c r="AW179" s="20" t="str">
        <f>HYPERLINK("http://www.bing.com/maps/?lvl=14&amp;sty=h&amp;cp=33.1932~43.9727&amp;sp=point.33.1932_43.9727","Maplink3")</f>
        <v>Maplink3</v>
      </c>
    </row>
    <row r="180" spans="1:49" x14ac:dyDescent="0.25">
      <c r="A180" s="9">
        <v>32035</v>
      </c>
      <c r="B180" s="10" t="s">
        <v>10</v>
      </c>
      <c r="C180" s="10" t="s">
        <v>357</v>
      </c>
      <c r="D180" s="10" t="s">
        <v>383</v>
      </c>
      <c r="E180" s="10" t="s">
        <v>384</v>
      </c>
      <c r="F180" s="10">
        <v>33.212378999999999</v>
      </c>
      <c r="G180" s="10">
        <v>43.978019000000003</v>
      </c>
      <c r="H180" s="11">
        <v>89</v>
      </c>
      <c r="I180" s="11">
        <v>534</v>
      </c>
      <c r="J180" s="11"/>
      <c r="K180" s="11"/>
      <c r="L180" s="11">
        <v>72</v>
      </c>
      <c r="M180" s="11"/>
      <c r="N180" s="11"/>
      <c r="O180" s="11"/>
      <c r="P180" s="11">
        <v>17</v>
      </c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>
        <v>89</v>
      </c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>
        <v>89</v>
      </c>
      <c r="AQ180" s="11"/>
      <c r="AR180" s="11"/>
      <c r="AS180" s="11"/>
      <c r="AT180" s="11"/>
      <c r="AU180" s="20" t="str">
        <f>HYPERLINK("http://www.openstreetmap.org/?mlat=33.2124&amp;mlon=43.978&amp;zoom=12#map=12/33.2124/43.978","Maplink1")</f>
        <v>Maplink1</v>
      </c>
      <c r="AV180" s="20" t="str">
        <f>HYPERLINK("https://www.google.iq/maps/search/+33.2124,43.978/@33.2124,43.978,14z?hl=en","Maplink2")</f>
        <v>Maplink2</v>
      </c>
      <c r="AW180" s="20" t="str">
        <f>HYPERLINK("http://www.bing.com/maps/?lvl=14&amp;sty=h&amp;cp=33.2124~43.978&amp;sp=point.33.2124_43.978","Maplink3")</f>
        <v>Maplink3</v>
      </c>
    </row>
    <row r="181" spans="1:49" x14ac:dyDescent="0.25">
      <c r="A181" s="9">
        <v>29532</v>
      </c>
      <c r="B181" s="10" t="s">
        <v>10</v>
      </c>
      <c r="C181" s="10" t="s">
        <v>357</v>
      </c>
      <c r="D181" s="10" t="s">
        <v>385</v>
      </c>
      <c r="E181" s="10" t="s">
        <v>386</v>
      </c>
      <c r="F181" s="10">
        <v>33.218278196699998</v>
      </c>
      <c r="G181" s="10">
        <v>43.953737083900002</v>
      </c>
      <c r="H181" s="11">
        <v>109</v>
      </c>
      <c r="I181" s="11">
        <v>654</v>
      </c>
      <c r="J181" s="11"/>
      <c r="K181" s="11"/>
      <c r="L181" s="11">
        <v>109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>
        <v>109</v>
      </c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>
        <v>109</v>
      </c>
      <c r="AP181" s="11"/>
      <c r="AQ181" s="11"/>
      <c r="AR181" s="11"/>
      <c r="AS181" s="11"/>
      <c r="AT181" s="11"/>
      <c r="AU181" s="20" t="str">
        <f>HYPERLINK("http://www.openstreetmap.org/?mlat=33.2183&amp;mlon=43.9537&amp;zoom=12#map=12/33.2183/43.9537","Maplink1")</f>
        <v>Maplink1</v>
      </c>
      <c r="AV181" s="20" t="str">
        <f>HYPERLINK("https://www.google.iq/maps/search/+33.2183,43.9537/@33.2183,43.9537,14z?hl=en","Maplink2")</f>
        <v>Maplink2</v>
      </c>
      <c r="AW181" s="20" t="str">
        <f>HYPERLINK("http://www.bing.com/maps/?lvl=14&amp;sty=h&amp;cp=33.2183~43.9537&amp;sp=point.33.2183_43.9537","Maplink3")</f>
        <v>Maplink3</v>
      </c>
    </row>
    <row r="182" spans="1:49" x14ac:dyDescent="0.25">
      <c r="A182" s="9">
        <v>29533</v>
      </c>
      <c r="B182" s="10" t="s">
        <v>10</v>
      </c>
      <c r="C182" s="10" t="s">
        <v>357</v>
      </c>
      <c r="D182" s="10" t="s">
        <v>387</v>
      </c>
      <c r="E182" s="10" t="s">
        <v>388</v>
      </c>
      <c r="F182" s="10">
        <v>33.207748354099998</v>
      </c>
      <c r="G182" s="10">
        <v>43.971787759100003</v>
      </c>
      <c r="H182" s="11">
        <v>320</v>
      </c>
      <c r="I182" s="11">
        <v>1920</v>
      </c>
      <c r="J182" s="11"/>
      <c r="K182" s="11"/>
      <c r="L182" s="11">
        <v>270</v>
      </c>
      <c r="M182" s="11"/>
      <c r="N182" s="11"/>
      <c r="O182" s="11"/>
      <c r="P182" s="11">
        <v>50</v>
      </c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>
        <v>320</v>
      </c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>
        <v>271</v>
      </c>
      <c r="AP182" s="11">
        <v>49</v>
      </c>
      <c r="AQ182" s="11"/>
      <c r="AR182" s="11"/>
      <c r="AS182" s="11"/>
      <c r="AT182" s="11"/>
      <c r="AU182" s="20" t="str">
        <f>HYPERLINK("http://www.openstreetmap.org/?mlat=33.2077&amp;mlon=43.9718&amp;zoom=12#map=12/33.2077/43.9718","Maplink1")</f>
        <v>Maplink1</v>
      </c>
      <c r="AV182" s="20" t="str">
        <f>HYPERLINK("https://www.google.iq/maps/search/+33.2077,43.9718/@33.2077,43.9718,14z?hl=en","Maplink2")</f>
        <v>Maplink2</v>
      </c>
      <c r="AW182" s="20" t="str">
        <f>HYPERLINK("http://www.bing.com/maps/?lvl=14&amp;sty=h&amp;cp=33.2077~43.9718&amp;sp=point.33.2077_43.9718","Maplink3")</f>
        <v>Maplink3</v>
      </c>
    </row>
    <row r="183" spans="1:49" x14ac:dyDescent="0.25">
      <c r="A183" s="9">
        <v>29496</v>
      </c>
      <c r="B183" s="10" t="s">
        <v>10</v>
      </c>
      <c r="C183" s="10" t="s">
        <v>357</v>
      </c>
      <c r="D183" s="10" t="s">
        <v>389</v>
      </c>
      <c r="E183" s="10" t="s">
        <v>390</v>
      </c>
      <c r="F183" s="10">
        <v>33.387210281500003</v>
      </c>
      <c r="G183" s="10">
        <v>44.108202805200001</v>
      </c>
      <c r="H183" s="11">
        <v>37</v>
      </c>
      <c r="I183" s="11">
        <v>222</v>
      </c>
      <c r="J183" s="11"/>
      <c r="K183" s="11"/>
      <c r="L183" s="11">
        <v>37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>
        <v>37</v>
      </c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>
        <v>37</v>
      </c>
      <c r="AQ183" s="11"/>
      <c r="AR183" s="11"/>
      <c r="AS183" s="11"/>
      <c r="AT183" s="11"/>
      <c r="AU183" s="20" t="str">
        <f>HYPERLINK("http://www.openstreetmap.org/?mlat=33.3872&amp;mlon=44.1082&amp;zoom=12#map=12/33.3872/44.1082","Maplink1")</f>
        <v>Maplink1</v>
      </c>
      <c r="AV183" s="20" t="str">
        <f>HYPERLINK("https://www.google.iq/maps/search/+33.3872,44.1082/@33.3872,44.1082,14z?hl=en","Maplink2")</f>
        <v>Maplink2</v>
      </c>
      <c r="AW183" s="20" t="str">
        <f>HYPERLINK("http://www.bing.com/maps/?lvl=14&amp;sty=h&amp;cp=33.3872~44.1082&amp;sp=point.33.3872_44.1082","Maplink3")</f>
        <v>Maplink3</v>
      </c>
    </row>
    <row r="184" spans="1:49" x14ac:dyDescent="0.25">
      <c r="A184" s="9">
        <v>31710</v>
      </c>
      <c r="B184" s="10" t="s">
        <v>10</v>
      </c>
      <c r="C184" s="10" t="s">
        <v>357</v>
      </c>
      <c r="D184" s="10" t="s">
        <v>391</v>
      </c>
      <c r="E184" s="10" t="s">
        <v>392</v>
      </c>
      <c r="F184" s="10">
        <v>33.270892000000003</v>
      </c>
      <c r="G184" s="10">
        <v>44.048281000000003</v>
      </c>
      <c r="H184" s="11">
        <v>250</v>
      </c>
      <c r="I184" s="11">
        <v>1500</v>
      </c>
      <c r="J184" s="11"/>
      <c r="K184" s="11"/>
      <c r="L184" s="11">
        <v>250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>
        <v>143</v>
      </c>
      <c r="AD184" s="11">
        <v>107</v>
      </c>
      <c r="AE184" s="11"/>
      <c r="AF184" s="11"/>
      <c r="AG184" s="11"/>
      <c r="AH184" s="11"/>
      <c r="AI184" s="11"/>
      <c r="AJ184" s="11"/>
      <c r="AK184" s="11"/>
      <c r="AL184" s="11"/>
      <c r="AM184" s="11">
        <v>100</v>
      </c>
      <c r="AN184" s="11"/>
      <c r="AO184" s="11"/>
      <c r="AP184" s="11">
        <v>150</v>
      </c>
      <c r="AQ184" s="11"/>
      <c r="AR184" s="11"/>
      <c r="AS184" s="11"/>
      <c r="AT184" s="11"/>
      <c r="AU184" s="20" t="str">
        <f>HYPERLINK("http://www.openstreetmap.org/?mlat=33.2709&amp;mlon=44.0483&amp;zoom=12#map=12/33.2709/44.0483","Maplink1")</f>
        <v>Maplink1</v>
      </c>
      <c r="AV184" s="20" t="str">
        <f>HYPERLINK("https://www.google.iq/maps/search/+33.2709,44.0483/@33.2709,44.0483,14z?hl=en","Maplink2")</f>
        <v>Maplink2</v>
      </c>
      <c r="AW184" s="20" t="str">
        <f>HYPERLINK("http://www.bing.com/maps/?lvl=14&amp;sty=h&amp;cp=33.2709~44.0483&amp;sp=point.33.2709_44.0483","Maplink3")</f>
        <v>Maplink3</v>
      </c>
    </row>
    <row r="185" spans="1:49" x14ac:dyDescent="0.25">
      <c r="A185" s="9">
        <v>31876</v>
      </c>
      <c r="B185" s="10" t="s">
        <v>10</v>
      </c>
      <c r="C185" s="10" t="s">
        <v>357</v>
      </c>
      <c r="D185" s="10" t="s">
        <v>393</v>
      </c>
      <c r="E185" s="10" t="s">
        <v>394</v>
      </c>
      <c r="F185" s="10">
        <v>33.272159000000002</v>
      </c>
      <c r="G185" s="10">
        <v>43.911194999999999</v>
      </c>
      <c r="H185" s="11">
        <v>160</v>
      </c>
      <c r="I185" s="11">
        <v>960</v>
      </c>
      <c r="J185" s="11"/>
      <c r="K185" s="11"/>
      <c r="L185" s="11">
        <v>160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>
        <v>139</v>
      </c>
      <c r="AD185" s="11">
        <v>21</v>
      </c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>
        <v>76</v>
      </c>
      <c r="AP185" s="11">
        <v>84</v>
      </c>
      <c r="AQ185" s="11"/>
      <c r="AR185" s="11"/>
      <c r="AS185" s="11"/>
      <c r="AT185" s="11"/>
      <c r="AU185" s="20" t="str">
        <f>HYPERLINK("http://www.openstreetmap.org/?mlat=33.2722&amp;mlon=43.9112&amp;zoom=12#map=12/33.2722/43.9112","Maplink1")</f>
        <v>Maplink1</v>
      </c>
      <c r="AV185" s="20" t="str">
        <f>HYPERLINK("https://www.google.iq/maps/search/+33.2722,43.9112/@33.2722,43.9112,14z?hl=en","Maplink2")</f>
        <v>Maplink2</v>
      </c>
      <c r="AW185" s="20" t="str">
        <f>HYPERLINK("http://www.bing.com/maps/?lvl=14&amp;sty=h&amp;cp=33.2722~43.9112&amp;sp=point.33.2722_43.9112","Maplink3")</f>
        <v>Maplink3</v>
      </c>
    </row>
    <row r="186" spans="1:49" x14ac:dyDescent="0.25">
      <c r="A186" s="9">
        <v>29499</v>
      </c>
      <c r="B186" s="10" t="s">
        <v>10</v>
      </c>
      <c r="C186" s="10" t="s">
        <v>357</v>
      </c>
      <c r="D186" s="10" t="s">
        <v>395</v>
      </c>
      <c r="E186" s="10" t="s">
        <v>396</v>
      </c>
      <c r="F186" s="10">
        <v>33.361199999999997</v>
      </c>
      <c r="G186" s="10">
        <v>43.993299999999998</v>
      </c>
      <c r="H186" s="11">
        <v>71</v>
      </c>
      <c r="I186" s="11">
        <v>426</v>
      </c>
      <c r="J186" s="11"/>
      <c r="K186" s="11"/>
      <c r="L186" s="11">
        <v>52</v>
      </c>
      <c r="M186" s="11"/>
      <c r="N186" s="11"/>
      <c r="O186" s="11"/>
      <c r="P186" s="11">
        <v>19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>
        <v>71</v>
      </c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>
        <v>50</v>
      </c>
      <c r="AP186" s="11">
        <v>21</v>
      </c>
      <c r="AQ186" s="11"/>
      <c r="AR186" s="11"/>
      <c r="AS186" s="11"/>
      <c r="AT186" s="11"/>
      <c r="AU186" s="20" t="str">
        <f>HYPERLINK("http://www.openstreetmap.org/?mlat=33.3612&amp;mlon=43.9933&amp;zoom=12#map=12/33.3612/43.9933","Maplink1")</f>
        <v>Maplink1</v>
      </c>
      <c r="AV186" s="20" t="str">
        <f>HYPERLINK("https://www.google.iq/maps/search/+33.3612,43.9933/@33.3612,43.9933,14z?hl=en","Maplink2")</f>
        <v>Maplink2</v>
      </c>
      <c r="AW186" s="20" t="str">
        <f>HYPERLINK("http://www.bing.com/maps/?lvl=14&amp;sty=h&amp;cp=33.3612~43.9933&amp;sp=point.33.3612_43.9933","Maplink3")</f>
        <v>Maplink3</v>
      </c>
    </row>
    <row r="187" spans="1:49" x14ac:dyDescent="0.25">
      <c r="A187" s="9">
        <v>29530</v>
      </c>
      <c r="B187" s="10" t="s">
        <v>10</v>
      </c>
      <c r="C187" s="10" t="s">
        <v>357</v>
      </c>
      <c r="D187" s="10" t="s">
        <v>397</v>
      </c>
      <c r="E187" s="10" t="s">
        <v>398</v>
      </c>
      <c r="F187" s="10">
        <v>33.258200000000002</v>
      </c>
      <c r="G187" s="10">
        <v>43.8566</v>
      </c>
      <c r="H187" s="11">
        <v>132</v>
      </c>
      <c r="I187" s="11">
        <v>792</v>
      </c>
      <c r="J187" s="11"/>
      <c r="K187" s="11"/>
      <c r="L187" s="11">
        <v>132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>
        <v>132</v>
      </c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>
        <v>42</v>
      </c>
      <c r="AP187" s="11">
        <v>90</v>
      </c>
      <c r="AQ187" s="11"/>
      <c r="AR187" s="11"/>
      <c r="AS187" s="11"/>
      <c r="AT187" s="11"/>
      <c r="AU187" s="20" t="str">
        <f>HYPERLINK("http://www.openstreetmap.org/?mlat=33.2582&amp;mlon=43.8566&amp;zoom=12#map=12/33.2582/43.8566","Maplink1")</f>
        <v>Maplink1</v>
      </c>
      <c r="AV187" s="20" t="str">
        <f>HYPERLINK("https://www.google.iq/maps/search/+33.2582,43.8566/@33.2582,43.8566,14z?hl=en","Maplink2")</f>
        <v>Maplink2</v>
      </c>
      <c r="AW187" s="20" t="str">
        <f>HYPERLINK("http://www.bing.com/maps/?lvl=14&amp;sty=h&amp;cp=33.2582~43.8566&amp;sp=point.33.2582_43.8566","Maplink3")</f>
        <v>Maplink3</v>
      </c>
    </row>
    <row r="188" spans="1:49" x14ac:dyDescent="0.25">
      <c r="A188" s="9">
        <v>7674</v>
      </c>
      <c r="B188" s="10" t="s">
        <v>10</v>
      </c>
      <c r="C188" s="10" t="s">
        <v>357</v>
      </c>
      <c r="D188" s="10" t="s">
        <v>2077</v>
      </c>
      <c r="E188" s="10" t="s">
        <v>2078</v>
      </c>
      <c r="F188" s="10">
        <v>33.272156000000003</v>
      </c>
      <c r="G188" s="10">
        <v>43.911180999999999</v>
      </c>
      <c r="H188" s="11">
        <v>200</v>
      </c>
      <c r="I188" s="11">
        <v>1200</v>
      </c>
      <c r="J188" s="11"/>
      <c r="K188" s="11"/>
      <c r="L188" s="11">
        <v>200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>
        <v>200</v>
      </c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>
        <v>200</v>
      </c>
      <c r="AQ188" s="11"/>
      <c r="AR188" s="11"/>
      <c r="AS188" s="11"/>
      <c r="AT188" s="11"/>
      <c r="AU188" s="20" t="str">
        <f>HYPERLINK("http://www.openstreetmap.org/?mlat=33.2722&amp;mlon=43.9112&amp;zoom=12#map=12/33.2722/43.9112","Maplink1")</f>
        <v>Maplink1</v>
      </c>
      <c r="AV188" s="20" t="str">
        <f>HYPERLINK("https://www.google.iq/maps/search/+33.2722,43.9112/@33.2722,43.9112,14z?hl=en","Maplink2")</f>
        <v>Maplink2</v>
      </c>
      <c r="AW188" s="20" t="str">
        <f>HYPERLINK("http://www.bing.com/maps/?lvl=14&amp;sty=h&amp;cp=33.2722~43.9112&amp;sp=point.33.2722_43.9112","Maplink3")</f>
        <v>Maplink3</v>
      </c>
    </row>
    <row r="189" spans="1:49" x14ac:dyDescent="0.25">
      <c r="A189" s="9">
        <v>25167</v>
      </c>
      <c r="B189" s="10" t="s">
        <v>10</v>
      </c>
      <c r="C189" s="10" t="s">
        <v>399</v>
      </c>
      <c r="D189" s="10" t="s">
        <v>400</v>
      </c>
      <c r="E189" s="10" t="s">
        <v>401</v>
      </c>
      <c r="F189" s="10">
        <v>33.452355616600002</v>
      </c>
      <c r="G189" s="10">
        <v>44.167196085400001</v>
      </c>
      <c r="H189" s="11">
        <v>130</v>
      </c>
      <c r="I189" s="11">
        <v>780</v>
      </c>
      <c r="J189" s="11"/>
      <c r="K189" s="11"/>
      <c r="L189" s="11">
        <v>130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>
        <v>130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>
        <v>130</v>
      </c>
      <c r="AQ189" s="11"/>
      <c r="AR189" s="11"/>
      <c r="AS189" s="11"/>
      <c r="AT189" s="11"/>
      <c r="AU189" s="20" t="str">
        <f>HYPERLINK("http://www.openstreetmap.org/?mlat=33.4524&amp;mlon=44.1672&amp;zoom=12#map=12/33.4524/44.1672","Maplink1")</f>
        <v>Maplink1</v>
      </c>
      <c r="AV189" s="20" t="str">
        <f>HYPERLINK("https://www.google.iq/maps/search/+33.4524,44.1672/@33.4524,44.1672,14z?hl=en","Maplink2")</f>
        <v>Maplink2</v>
      </c>
      <c r="AW189" s="20" t="str">
        <f>HYPERLINK("http://www.bing.com/maps/?lvl=14&amp;sty=h&amp;cp=33.4524~44.1672&amp;sp=point.33.4524_44.1672","Maplink3")</f>
        <v>Maplink3</v>
      </c>
    </row>
    <row r="190" spans="1:49" x14ac:dyDescent="0.25">
      <c r="A190" s="9">
        <v>22541</v>
      </c>
      <c r="B190" s="10" t="s">
        <v>10</v>
      </c>
      <c r="C190" s="10" t="s">
        <v>399</v>
      </c>
      <c r="D190" s="10" t="s">
        <v>402</v>
      </c>
      <c r="E190" s="10" t="s">
        <v>403</v>
      </c>
      <c r="F190" s="10">
        <v>33.4589029272</v>
      </c>
      <c r="G190" s="10">
        <v>44.1707840965</v>
      </c>
      <c r="H190" s="11">
        <v>180</v>
      </c>
      <c r="I190" s="11">
        <v>1080</v>
      </c>
      <c r="J190" s="11"/>
      <c r="K190" s="11">
        <v>22</v>
      </c>
      <c r="L190" s="11">
        <v>158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>
        <v>180</v>
      </c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>
        <v>180</v>
      </c>
      <c r="AQ190" s="11"/>
      <c r="AR190" s="11"/>
      <c r="AS190" s="11"/>
      <c r="AT190" s="11"/>
      <c r="AU190" s="20" t="str">
        <f>HYPERLINK("http://www.openstreetmap.org/?mlat=33.4589&amp;mlon=44.1708&amp;zoom=12#map=12/33.4589/44.1708","Maplink1")</f>
        <v>Maplink1</v>
      </c>
      <c r="AV190" s="20" t="str">
        <f>HYPERLINK("https://www.google.iq/maps/search/+33.4589,44.1708/@33.4589,44.1708,14z?hl=en","Maplink2")</f>
        <v>Maplink2</v>
      </c>
      <c r="AW190" s="20" t="str">
        <f>HYPERLINK("http://www.bing.com/maps/?lvl=14&amp;sty=h&amp;cp=33.4589~44.1708&amp;sp=point.33.4589_44.1708","Maplink3")</f>
        <v>Maplink3</v>
      </c>
    </row>
    <row r="191" spans="1:49" x14ac:dyDescent="0.25">
      <c r="A191" s="9">
        <v>22611</v>
      </c>
      <c r="B191" s="10" t="s">
        <v>10</v>
      </c>
      <c r="C191" s="10" t="s">
        <v>399</v>
      </c>
      <c r="D191" s="10" t="s">
        <v>404</v>
      </c>
      <c r="E191" s="10" t="s">
        <v>405</v>
      </c>
      <c r="F191" s="10">
        <v>33.468362139299998</v>
      </c>
      <c r="G191" s="10">
        <v>44.169403811400002</v>
      </c>
      <c r="H191" s="11">
        <v>76</v>
      </c>
      <c r="I191" s="11">
        <v>456</v>
      </c>
      <c r="J191" s="11"/>
      <c r="K191" s="11"/>
      <c r="L191" s="11">
        <v>76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>
        <v>76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>
        <v>76</v>
      </c>
      <c r="AQ191" s="11"/>
      <c r="AR191" s="11"/>
      <c r="AS191" s="11"/>
      <c r="AT191" s="11"/>
      <c r="AU191" s="20" t="str">
        <f>HYPERLINK("http://www.openstreetmap.org/?mlat=33.4684&amp;mlon=44.1694&amp;zoom=12#map=12/33.4684/44.1694","Maplink1")</f>
        <v>Maplink1</v>
      </c>
      <c r="AV191" s="20" t="str">
        <f>HYPERLINK("https://www.google.iq/maps/search/+33.4684,44.1694/@33.4684,44.1694,14z?hl=en","Maplink2")</f>
        <v>Maplink2</v>
      </c>
      <c r="AW191" s="20" t="str">
        <f>HYPERLINK("http://www.bing.com/maps/?lvl=14&amp;sty=h&amp;cp=33.4684~44.1694&amp;sp=point.33.4684_44.1694","Maplink3")</f>
        <v>Maplink3</v>
      </c>
    </row>
    <row r="192" spans="1:49" x14ac:dyDescent="0.25">
      <c r="A192" s="9">
        <v>25168</v>
      </c>
      <c r="B192" s="10" t="s">
        <v>10</v>
      </c>
      <c r="C192" s="10" t="s">
        <v>399</v>
      </c>
      <c r="D192" s="10" t="s">
        <v>406</v>
      </c>
      <c r="E192" s="10" t="s">
        <v>407</v>
      </c>
      <c r="F192" s="10">
        <v>33.470859812199997</v>
      </c>
      <c r="G192" s="10">
        <v>44.165869557299999</v>
      </c>
      <c r="H192" s="11">
        <v>311</v>
      </c>
      <c r="I192" s="11">
        <v>1866</v>
      </c>
      <c r="J192" s="11"/>
      <c r="K192" s="11"/>
      <c r="L192" s="11">
        <v>311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>
        <v>311</v>
      </c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>
        <v>311</v>
      </c>
      <c r="AP192" s="11"/>
      <c r="AQ192" s="11"/>
      <c r="AR192" s="11"/>
      <c r="AS192" s="11"/>
      <c r="AT192" s="11"/>
      <c r="AU192" s="20" t="str">
        <f>HYPERLINK("http://www.openstreetmap.org/?mlat=33.4709&amp;mlon=44.1659&amp;zoom=12#map=12/33.4709/44.1659","Maplink1")</f>
        <v>Maplink1</v>
      </c>
      <c r="AV192" s="20" t="str">
        <f>HYPERLINK("https://www.google.iq/maps/search/+33.4709,44.1659/@33.4709,44.1659,14z?hl=en","Maplink2")</f>
        <v>Maplink2</v>
      </c>
      <c r="AW192" s="20" t="str">
        <f>HYPERLINK("http://www.bing.com/maps/?lvl=14&amp;sty=h&amp;cp=33.4709~44.1659&amp;sp=point.33.4709_44.1659","Maplink3")</f>
        <v>Maplink3</v>
      </c>
    </row>
    <row r="193" spans="1:49" x14ac:dyDescent="0.25">
      <c r="A193" s="9">
        <v>25160</v>
      </c>
      <c r="B193" s="10" t="s">
        <v>10</v>
      </c>
      <c r="C193" s="10" t="s">
        <v>399</v>
      </c>
      <c r="D193" s="10" t="s">
        <v>408</v>
      </c>
      <c r="E193" s="10" t="s">
        <v>409</v>
      </c>
      <c r="F193" s="10">
        <v>33.491100000000003</v>
      </c>
      <c r="G193" s="10">
        <v>44.201700000000002</v>
      </c>
      <c r="H193" s="11">
        <v>50</v>
      </c>
      <c r="I193" s="11">
        <v>300</v>
      </c>
      <c r="J193" s="11"/>
      <c r="K193" s="11"/>
      <c r="L193" s="11">
        <v>50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>
        <v>50</v>
      </c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>
        <v>50</v>
      </c>
      <c r="AP193" s="11"/>
      <c r="AQ193" s="11"/>
      <c r="AR193" s="11"/>
      <c r="AS193" s="11"/>
      <c r="AT193" s="11"/>
      <c r="AU193" s="20" t="str">
        <f>HYPERLINK("http://www.openstreetmap.org/?mlat=33.4911&amp;mlon=44.2017&amp;zoom=12#map=12/33.4911/44.2017","Maplink1")</f>
        <v>Maplink1</v>
      </c>
      <c r="AV193" s="20" t="str">
        <f>HYPERLINK("https://www.google.iq/maps/search/+33.4911,44.2017/@33.4911,44.2017,14z?hl=en","Maplink2")</f>
        <v>Maplink2</v>
      </c>
      <c r="AW193" s="20" t="str">
        <f>HYPERLINK("http://www.bing.com/maps/?lvl=14&amp;sty=h&amp;cp=33.4911~44.2017&amp;sp=point.33.4911_44.2017","Maplink3")</f>
        <v>Maplink3</v>
      </c>
    </row>
    <row r="194" spans="1:49" x14ac:dyDescent="0.25">
      <c r="A194" s="9">
        <v>25161</v>
      </c>
      <c r="B194" s="10" t="s">
        <v>10</v>
      </c>
      <c r="C194" s="10" t="s">
        <v>399</v>
      </c>
      <c r="D194" s="10" t="s">
        <v>410</v>
      </c>
      <c r="E194" s="10" t="s">
        <v>411</v>
      </c>
      <c r="F194" s="10">
        <v>33.461047749999999</v>
      </c>
      <c r="G194" s="10">
        <v>44.143778349999998</v>
      </c>
      <c r="H194" s="11">
        <v>20</v>
      </c>
      <c r="I194" s="11">
        <v>120</v>
      </c>
      <c r="J194" s="11"/>
      <c r="K194" s="11"/>
      <c r="L194" s="11">
        <v>20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>
        <v>20</v>
      </c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>
        <v>20</v>
      </c>
      <c r="AQ194" s="11"/>
      <c r="AR194" s="11"/>
      <c r="AS194" s="11"/>
      <c r="AT194" s="11"/>
      <c r="AU194" s="20" t="str">
        <f>HYPERLINK("http://www.openstreetmap.org/?mlat=33.461&amp;mlon=44.1438&amp;zoom=12#map=12/33.461/44.1438","Maplink1")</f>
        <v>Maplink1</v>
      </c>
      <c r="AV194" s="20" t="str">
        <f>HYPERLINK("https://www.google.iq/maps/search/+33.461,44.1438/@33.461,44.1438,14z?hl=en","Maplink2")</f>
        <v>Maplink2</v>
      </c>
      <c r="AW194" s="20" t="str">
        <f>HYPERLINK("http://www.bing.com/maps/?lvl=14&amp;sty=h&amp;cp=33.461~44.1438&amp;sp=point.33.461_44.1438","Maplink3")</f>
        <v>Maplink3</v>
      </c>
    </row>
    <row r="195" spans="1:49" x14ac:dyDescent="0.25">
      <c r="A195" s="9">
        <v>23329</v>
      </c>
      <c r="B195" s="10" t="s">
        <v>10</v>
      </c>
      <c r="C195" s="10" t="s">
        <v>399</v>
      </c>
      <c r="D195" s="10" t="s">
        <v>412</v>
      </c>
      <c r="E195" s="10" t="s">
        <v>413</v>
      </c>
      <c r="F195" s="10">
        <v>33.470880999999999</v>
      </c>
      <c r="G195" s="10">
        <v>44.147109</v>
      </c>
      <c r="H195" s="11">
        <v>56</v>
      </c>
      <c r="I195" s="11">
        <v>336</v>
      </c>
      <c r="J195" s="11"/>
      <c r="K195" s="11"/>
      <c r="L195" s="11">
        <v>56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>
        <v>56</v>
      </c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>
        <v>56</v>
      </c>
      <c r="AQ195" s="11"/>
      <c r="AR195" s="11"/>
      <c r="AS195" s="11"/>
      <c r="AT195" s="11"/>
      <c r="AU195" s="20" t="str">
        <f>HYPERLINK("http://www.openstreetmap.org/?mlat=33.4709&amp;mlon=44.1471&amp;zoom=12#map=12/33.4709/44.1471","Maplink1")</f>
        <v>Maplink1</v>
      </c>
      <c r="AV195" s="20" t="str">
        <f>HYPERLINK("https://www.google.iq/maps/search/+33.4709,44.1471/@33.4709,44.1471,14z?hl=en","Maplink2")</f>
        <v>Maplink2</v>
      </c>
      <c r="AW195" s="20" t="str">
        <f>HYPERLINK("http://www.bing.com/maps/?lvl=14&amp;sty=h&amp;cp=33.4709~44.1471&amp;sp=point.33.4709_44.1471","Maplink3")</f>
        <v>Maplink3</v>
      </c>
    </row>
    <row r="196" spans="1:49" x14ac:dyDescent="0.25">
      <c r="A196" s="9">
        <v>25163</v>
      </c>
      <c r="B196" s="10" t="s">
        <v>10</v>
      </c>
      <c r="C196" s="10" t="s">
        <v>399</v>
      </c>
      <c r="D196" s="10" t="s">
        <v>414</v>
      </c>
      <c r="E196" s="10" t="s">
        <v>415</v>
      </c>
      <c r="F196" s="10">
        <v>33.450786260000001</v>
      </c>
      <c r="G196" s="10">
        <v>44.150446760000001</v>
      </c>
      <c r="H196" s="11">
        <v>175</v>
      </c>
      <c r="I196" s="11">
        <v>1050</v>
      </c>
      <c r="J196" s="11"/>
      <c r="K196" s="11">
        <v>12</v>
      </c>
      <c r="L196" s="11">
        <v>155</v>
      </c>
      <c r="M196" s="11"/>
      <c r="N196" s="11"/>
      <c r="O196" s="11"/>
      <c r="P196" s="11"/>
      <c r="Q196" s="11">
        <v>8</v>
      </c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>
        <v>175</v>
      </c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>
        <v>175</v>
      </c>
      <c r="AP196" s="11"/>
      <c r="AQ196" s="11"/>
      <c r="AR196" s="11"/>
      <c r="AS196" s="11"/>
      <c r="AT196" s="11"/>
      <c r="AU196" s="20" t="str">
        <f>HYPERLINK("http://www.openstreetmap.org/?mlat=33.4508&amp;mlon=44.1504&amp;zoom=12#map=12/33.4508/44.1504","Maplink1")</f>
        <v>Maplink1</v>
      </c>
      <c r="AV196" s="20" t="str">
        <f>HYPERLINK("https://www.google.iq/maps/search/+33.4508,44.1504/@33.4508,44.1504,14z?hl=en","Maplink2")</f>
        <v>Maplink2</v>
      </c>
      <c r="AW196" s="20" t="str">
        <f>HYPERLINK("http://www.bing.com/maps/?lvl=14&amp;sty=h&amp;cp=33.4508~44.1504&amp;sp=point.33.4508_44.1504","Maplink3")</f>
        <v>Maplink3</v>
      </c>
    </row>
    <row r="197" spans="1:49" x14ac:dyDescent="0.25">
      <c r="A197" s="9">
        <v>25164</v>
      </c>
      <c r="B197" s="10" t="s">
        <v>10</v>
      </c>
      <c r="C197" s="10" t="s">
        <v>399</v>
      </c>
      <c r="D197" s="10" t="s">
        <v>416</v>
      </c>
      <c r="E197" s="10" t="s">
        <v>417</v>
      </c>
      <c r="F197" s="10">
        <v>33.456556646000003</v>
      </c>
      <c r="G197" s="10">
        <v>44.157171557300003</v>
      </c>
      <c r="H197" s="11">
        <v>238</v>
      </c>
      <c r="I197" s="11">
        <v>1428</v>
      </c>
      <c r="J197" s="11"/>
      <c r="K197" s="11"/>
      <c r="L197" s="11">
        <v>238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>
        <v>238</v>
      </c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>
        <v>238</v>
      </c>
      <c r="AP197" s="11"/>
      <c r="AQ197" s="11"/>
      <c r="AR197" s="11"/>
      <c r="AS197" s="11"/>
      <c r="AT197" s="11"/>
      <c r="AU197" s="20" t="str">
        <f>HYPERLINK("http://www.openstreetmap.org/?mlat=33.4566&amp;mlon=44.1572&amp;zoom=12#map=12/33.4566/44.1572","Maplink1")</f>
        <v>Maplink1</v>
      </c>
      <c r="AV197" s="20" t="str">
        <f>HYPERLINK("https://www.google.iq/maps/search/+33.4566,44.1572/@33.4566,44.1572,14z?hl=en","Maplink2")</f>
        <v>Maplink2</v>
      </c>
      <c r="AW197" s="20" t="str">
        <f>HYPERLINK("http://www.bing.com/maps/?lvl=14&amp;sty=h&amp;cp=33.4566~44.1572&amp;sp=point.33.4566_44.1572","Maplink3")</f>
        <v>Maplink3</v>
      </c>
    </row>
    <row r="198" spans="1:49" x14ac:dyDescent="0.25">
      <c r="A198" s="9">
        <v>25165</v>
      </c>
      <c r="B198" s="10" t="s">
        <v>10</v>
      </c>
      <c r="C198" s="10" t="s">
        <v>399</v>
      </c>
      <c r="D198" s="10" t="s">
        <v>418</v>
      </c>
      <c r="E198" s="10" t="s">
        <v>419</v>
      </c>
      <c r="F198" s="10">
        <v>33.455334453299997</v>
      </c>
      <c r="G198" s="10">
        <v>44.156637023499997</v>
      </c>
      <c r="H198" s="11">
        <v>58</v>
      </c>
      <c r="I198" s="11">
        <v>348</v>
      </c>
      <c r="J198" s="11"/>
      <c r="K198" s="11"/>
      <c r="L198" s="11">
        <v>58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>
        <v>58</v>
      </c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>
        <v>58</v>
      </c>
      <c r="AQ198" s="11"/>
      <c r="AR198" s="11"/>
      <c r="AS198" s="11"/>
      <c r="AT198" s="11"/>
      <c r="AU198" s="20" t="str">
        <f>HYPERLINK("http://www.openstreetmap.org/?mlat=33.4553&amp;mlon=44.1566&amp;zoom=12#map=12/33.4553/44.1566","Maplink1")</f>
        <v>Maplink1</v>
      </c>
      <c r="AV198" s="20" t="str">
        <f>HYPERLINK("https://www.google.iq/maps/search/+33.4553,44.1566/@33.4553,44.1566,14z?hl=en","Maplink2")</f>
        <v>Maplink2</v>
      </c>
      <c r="AW198" s="20" t="str">
        <f>HYPERLINK("http://www.bing.com/maps/?lvl=14&amp;sty=h&amp;cp=33.4553~44.1566&amp;sp=point.33.4553_44.1566","Maplink3")</f>
        <v>Maplink3</v>
      </c>
    </row>
    <row r="199" spans="1:49" x14ac:dyDescent="0.25">
      <c r="A199" s="9">
        <v>33102</v>
      </c>
      <c r="B199" s="10" t="s">
        <v>10</v>
      </c>
      <c r="C199" s="10" t="s">
        <v>420</v>
      </c>
      <c r="D199" s="10" t="s">
        <v>1822</v>
      </c>
      <c r="E199" s="10" t="s">
        <v>1823</v>
      </c>
      <c r="F199" s="10">
        <v>33.098108000000003</v>
      </c>
      <c r="G199" s="10">
        <v>44.224266</v>
      </c>
      <c r="H199" s="11">
        <v>70</v>
      </c>
      <c r="I199" s="11">
        <v>420</v>
      </c>
      <c r="J199" s="11"/>
      <c r="K199" s="11"/>
      <c r="L199" s="11">
        <v>70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>
        <v>70</v>
      </c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>
        <v>70</v>
      </c>
      <c r="AQ199" s="11"/>
      <c r="AR199" s="11"/>
      <c r="AS199" s="11"/>
      <c r="AT199" s="11"/>
      <c r="AU199" s="20" t="str">
        <f>HYPERLINK("http://www.openstreetmap.org/?mlat=33.0981&amp;mlon=44.2243&amp;zoom=12#map=12/33.0981/44.2243","Maplink1")</f>
        <v>Maplink1</v>
      </c>
      <c r="AV199" s="20" t="str">
        <f>HYPERLINK("https://www.google.iq/maps/search/+33.0981,44.2243/@33.0981,44.2243,14z?hl=en","Maplink2")</f>
        <v>Maplink2</v>
      </c>
      <c r="AW199" s="20" t="str">
        <f>HYPERLINK("http://www.bing.com/maps/?lvl=14&amp;sty=h&amp;cp=33.0981~44.2243&amp;sp=point.33.0981_44.2243","Maplink3")</f>
        <v>Maplink3</v>
      </c>
    </row>
    <row r="200" spans="1:49" x14ac:dyDescent="0.25">
      <c r="A200" s="9">
        <v>29585</v>
      </c>
      <c r="B200" s="10" t="s">
        <v>10</v>
      </c>
      <c r="C200" s="10" t="s">
        <v>420</v>
      </c>
      <c r="D200" s="10" t="s">
        <v>421</v>
      </c>
      <c r="E200" s="10" t="s">
        <v>422</v>
      </c>
      <c r="F200" s="10">
        <v>33.0453218038</v>
      </c>
      <c r="G200" s="10">
        <v>44.1954457533</v>
      </c>
      <c r="H200" s="11">
        <v>80</v>
      </c>
      <c r="I200" s="11">
        <v>480</v>
      </c>
      <c r="J200" s="11"/>
      <c r="K200" s="11">
        <v>20</v>
      </c>
      <c r="L200" s="11">
        <v>20</v>
      </c>
      <c r="M200" s="11"/>
      <c r="N200" s="11"/>
      <c r="O200" s="11"/>
      <c r="P200" s="11">
        <v>20</v>
      </c>
      <c r="Q200" s="11"/>
      <c r="R200" s="11"/>
      <c r="S200" s="11">
        <v>20</v>
      </c>
      <c r="T200" s="11"/>
      <c r="U200" s="11"/>
      <c r="V200" s="11"/>
      <c r="W200" s="11"/>
      <c r="X200" s="11"/>
      <c r="Y200" s="11"/>
      <c r="Z200" s="11"/>
      <c r="AA200" s="11"/>
      <c r="AB200" s="11"/>
      <c r="AC200" s="11">
        <v>80</v>
      </c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>
        <v>80</v>
      </c>
      <c r="AP200" s="11"/>
      <c r="AQ200" s="11"/>
      <c r="AR200" s="11"/>
      <c r="AS200" s="11"/>
      <c r="AT200" s="11"/>
      <c r="AU200" s="20" t="str">
        <f>HYPERLINK("http://www.openstreetmap.org/?mlat=33.0453&amp;mlon=44.1954&amp;zoom=12#map=12/33.0453/44.1954","Maplink1")</f>
        <v>Maplink1</v>
      </c>
      <c r="AV200" s="20" t="str">
        <f>HYPERLINK("https://www.google.iq/maps/search/+33.0453,44.1954/@33.0453,44.1954,14z?hl=en","Maplink2")</f>
        <v>Maplink2</v>
      </c>
      <c r="AW200" s="20" t="str">
        <f>HYPERLINK("http://www.bing.com/maps/?lvl=14&amp;sty=h&amp;cp=33.0453~44.1954&amp;sp=point.33.0453_44.1954","Maplink3")</f>
        <v>Maplink3</v>
      </c>
    </row>
    <row r="201" spans="1:49" x14ac:dyDescent="0.25">
      <c r="A201" s="9">
        <v>33110</v>
      </c>
      <c r="B201" s="10" t="s">
        <v>10</v>
      </c>
      <c r="C201" s="10" t="s">
        <v>420</v>
      </c>
      <c r="D201" s="10" t="s">
        <v>1582</v>
      </c>
      <c r="E201" s="10" t="s">
        <v>1583</v>
      </c>
      <c r="F201" s="10">
        <v>33.025292</v>
      </c>
      <c r="G201" s="10">
        <v>44.164285999999997</v>
      </c>
      <c r="H201" s="11">
        <v>300</v>
      </c>
      <c r="I201" s="11">
        <v>1800</v>
      </c>
      <c r="J201" s="11"/>
      <c r="K201" s="11">
        <v>60</v>
      </c>
      <c r="L201" s="11">
        <v>240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>
        <v>300</v>
      </c>
      <c r="AD201" s="11"/>
      <c r="AE201" s="11"/>
      <c r="AF201" s="11"/>
      <c r="AG201" s="11"/>
      <c r="AH201" s="11"/>
      <c r="AI201" s="11"/>
      <c r="AJ201" s="11"/>
      <c r="AK201" s="11"/>
      <c r="AL201" s="11"/>
      <c r="AM201" s="11">
        <v>300</v>
      </c>
      <c r="AN201" s="11"/>
      <c r="AO201" s="11"/>
      <c r="AP201" s="11"/>
      <c r="AQ201" s="11"/>
      <c r="AR201" s="11"/>
      <c r="AS201" s="11"/>
      <c r="AT201" s="11"/>
      <c r="AU201" s="20" t="str">
        <f>HYPERLINK("http://www.openstreetmap.org/?mlat=33.0253&amp;mlon=44.1643&amp;zoom=12#map=12/33.0253/44.1643","Maplink1")</f>
        <v>Maplink1</v>
      </c>
      <c r="AV201" s="20" t="str">
        <f>HYPERLINK("https://www.google.iq/maps/search/+33.0253,44.1643/@33.0253,44.1643,14z?hl=en","Maplink2")</f>
        <v>Maplink2</v>
      </c>
      <c r="AW201" s="20" t="str">
        <f>HYPERLINK("http://www.bing.com/maps/?lvl=14&amp;sty=h&amp;cp=33.0253~44.1643&amp;sp=point.33.0253_44.1643","Maplink3")</f>
        <v>Maplink3</v>
      </c>
    </row>
    <row r="202" spans="1:49" x14ac:dyDescent="0.25">
      <c r="A202" s="9">
        <v>33106</v>
      </c>
      <c r="B202" s="10" t="s">
        <v>10</v>
      </c>
      <c r="C202" s="10" t="s">
        <v>420</v>
      </c>
      <c r="D202" s="10" t="s">
        <v>1584</v>
      </c>
      <c r="E202" s="10" t="s">
        <v>1585</v>
      </c>
      <c r="F202" s="10">
        <v>33.043149999999997</v>
      </c>
      <c r="G202" s="10">
        <v>44.190710000000003</v>
      </c>
      <c r="H202" s="11">
        <v>160</v>
      </c>
      <c r="I202" s="11">
        <v>960</v>
      </c>
      <c r="J202" s="11"/>
      <c r="K202" s="11">
        <v>14</v>
      </c>
      <c r="L202" s="11">
        <v>124</v>
      </c>
      <c r="M202" s="11"/>
      <c r="N202" s="11"/>
      <c r="O202" s="11"/>
      <c r="P202" s="11">
        <v>22</v>
      </c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>
        <v>160</v>
      </c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>
        <v>160</v>
      </c>
      <c r="AQ202" s="11"/>
      <c r="AR202" s="11"/>
      <c r="AS202" s="11"/>
      <c r="AT202" s="11"/>
      <c r="AU202" s="20" t="str">
        <f>HYPERLINK("http://www.openstreetmap.org/?mlat=33.0431&amp;mlon=44.1907&amp;zoom=12#map=12/33.0431/44.1907","Maplink1")</f>
        <v>Maplink1</v>
      </c>
      <c r="AV202" s="20" t="str">
        <f>HYPERLINK("https://www.google.iq/maps/search/+33.0431,44.1907/@33.0431,44.1907,14z?hl=en","Maplink2")</f>
        <v>Maplink2</v>
      </c>
      <c r="AW202" s="20" t="str">
        <f>HYPERLINK("http://www.bing.com/maps/?lvl=14&amp;sty=h&amp;cp=33.0431~44.1907&amp;sp=point.33.0431_44.1907","Maplink3")</f>
        <v>Maplink3</v>
      </c>
    </row>
    <row r="203" spans="1:49" x14ac:dyDescent="0.25">
      <c r="A203" s="9">
        <v>32040</v>
      </c>
      <c r="B203" s="10" t="s">
        <v>10</v>
      </c>
      <c r="C203" s="10" t="s">
        <v>420</v>
      </c>
      <c r="D203" s="10" t="s">
        <v>423</v>
      </c>
      <c r="E203" s="10" t="s">
        <v>424</v>
      </c>
      <c r="F203" s="10">
        <v>33.166091999999999</v>
      </c>
      <c r="G203" s="10">
        <v>44.035829999999997</v>
      </c>
      <c r="H203" s="11">
        <v>175</v>
      </c>
      <c r="I203" s="11">
        <v>1050</v>
      </c>
      <c r="J203" s="11"/>
      <c r="K203" s="11"/>
      <c r="L203" s="11">
        <v>149</v>
      </c>
      <c r="M203" s="11"/>
      <c r="N203" s="11"/>
      <c r="O203" s="11"/>
      <c r="P203" s="11">
        <v>26</v>
      </c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>
        <v>175</v>
      </c>
      <c r="AD203" s="11"/>
      <c r="AE203" s="11"/>
      <c r="AF203" s="11"/>
      <c r="AG203" s="11"/>
      <c r="AH203" s="11"/>
      <c r="AI203" s="11"/>
      <c r="AJ203" s="11"/>
      <c r="AK203" s="11"/>
      <c r="AL203" s="11"/>
      <c r="AM203" s="11">
        <v>175</v>
      </c>
      <c r="AN203" s="11"/>
      <c r="AO203" s="11"/>
      <c r="AP203" s="11"/>
      <c r="AQ203" s="11"/>
      <c r="AR203" s="11"/>
      <c r="AS203" s="11"/>
      <c r="AT203" s="11"/>
      <c r="AU203" s="20" t="str">
        <f>HYPERLINK("http://www.openstreetmap.org/?mlat=33.1661&amp;mlon=44.0358&amp;zoom=12#map=12/33.1661/44.0358","Maplink1")</f>
        <v>Maplink1</v>
      </c>
      <c r="AV203" s="20" t="str">
        <f>HYPERLINK("https://www.google.iq/maps/search/+33.1661,44.0358/@33.1661,44.0358,14z?hl=en","Maplink2")</f>
        <v>Maplink2</v>
      </c>
      <c r="AW203" s="20" t="str">
        <f>HYPERLINK("http://www.bing.com/maps/?lvl=14&amp;sty=h&amp;cp=33.1661~44.0358&amp;sp=point.33.1661_44.0358","Maplink3")</f>
        <v>Maplink3</v>
      </c>
    </row>
    <row r="204" spans="1:49" x14ac:dyDescent="0.25">
      <c r="A204" s="9">
        <v>33104</v>
      </c>
      <c r="B204" s="10" t="s">
        <v>10</v>
      </c>
      <c r="C204" s="10" t="s">
        <v>420</v>
      </c>
      <c r="D204" s="10" t="s">
        <v>1586</v>
      </c>
      <c r="E204" s="10" t="s">
        <v>1587</v>
      </c>
      <c r="F204" s="10">
        <v>33.033479999999997</v>
      </c>
      <c r="G204" s="10">
        <v>44.187790999999997</v>
      </c>
      <c r="H204" s="11">
        <v>110</v>
      </c>
      <c r="I204" s="11">
        <v>660</v>
      </c>
      <c r="J204" s="11"/>
      <c r="K204" s="11">
        <v>20</v>
      </c>
      <c r="L204" s="11">
        <v>75</v>
      </c>
      <c r="M204" s="11"/>
      <c r="N204" s="11"/>
      <c r="O204" s="11"/>
      <c r="P204" s="11">
        <v>15</v>
      </c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>
        <v>110</v>
      </c>
      <c r="AD204" s="11"/>
      <c r="AE204" s="11"/>
      <c r="AF204" s="11"/>
      <c r="AG204" s="11"/>
      <c r="AH204" s="11"/>
      <c r="AI204" s="11"/>
      <c r="AJ204" s="11"/>
      <c r="AK204" s="11"/>
      <c r="AL204" s="11"/>
      <c r="AM204" s="11">
        <v>110</v>
      </c>
      <c r="AN204" s="11"/>
      <c r="AO204" s="11"/>
      <c r="AP204" s="11"/>
      <c r="AQ204" s="11"/>
      <c r="AR204" s="11"/>
      <c r="AS204" s="11"/>
      <c r="AT204" s="11"/>
      <c r="AU204" s="20" t="str">
        <f>HYPERLINK("http://www.openstreetmap.org/?mlat=33.0335&amp;mlon=44.1878&amp;zoom=12#map=12/33.0335/44.1878","Maplink1")</f>
        <v>Maplink1</v>
      </c>
      <c r="AV204" s="20" t="str">
        <f>HYPERLINK("https://www.google.iq/maps/search/+33.0335,44.1878/@33.0335,44.1878,14z?hl=en","Maplink2")</f>
        <v>Maplink2</v>
      </c>
      <c r="AW204" s="20" t="str">
        <f>HYPERLINK("http://www.bing.com/maps/?lvl=14&amp;sty=h&amp;cp=33.0335~44.1878&amp;sp=point.33.0335_44.1878","Maplink3")</f>
        <v>Maplink3</v>
      </c>
    </row>
    <row r="205" spans="1:49" x14ac:dyDescent="0.25">
      <c r="A205" s="9">
        <v>29525</v>
      </c>
      <c r="B205" s="10" t="s">
        <v>10</v>
      </c>
      <c r="C205" s="10" t="s">
        <v>420</v>
      </c>
      <c r="D205" s="10" t="s">
        <v>425</v>
      </c>
      <c r="E205" s="10" t="s">
        <v>426</v>
      </c>
      <c r="F205" s="10">
        <v>33.0397537578</v>
      </c>
      <c r="G205" s="10">
        <v>44.1914245583</v>
      </c>
      <c r="H205" s="11">
        <v>49</v>
      </c>
      <c r="I205" s="11">
        <v>294</v>
      </c>
      <c r="J205" s="11"/>
      <c r="K205" s="11"/>
      <c r="L205" s="11">
        <v>49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>
        <v>49</v>
      </c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>
        <v>49</v>
      </c>
      <c r="AQ205" s="11"/>
      <c r="AR205" s="11"/>
      <c r="AS205" s="11"/>
      <c r="AT205" s="11"/>
      <c r="AU205" s="20" t="str">
        <f>HYPERLINK("http://www.openstreetmap.org/?mlat=33.0398&amp;mlon=44.1914&amp;zoom=12#map=12/33.0398/44.1914","Maplink1")</f>
        <v>Maplink1</v>
      </c>
      <c r="AV205" s="20" t="str">
        <f>HYPERLINK("https://www.google.iq/maps/search/+33.0398,44.1914/@33.0398,44.1914,14z?hl=en","Maplink2")</f>
        <v>Maplink2</v>
      </c>
      <c r="AW205" s="20" t="str">
        <f>HYPERLINK("http://www.bing.com/maps/?lvl=14&amp;sty=h&amp;cp=33.0398~44.1914&amp;sp=point.33.0398_44.1914","Maplink3")</f>
        <v>Maplink3</v>
      </c>
    </row>
    <row r="206" spans="1:49" x14ac:dyDescent="0.25">
      <c r="A206" s="9">
        <v>29524</v>
      </c>
      <c r="B206" s="10" t="s">
        <v>10</v>
      </c>
      <c r="C206" s="10" t="s">
        <v>420</v>
      </c>
      <c r="D206" s="10" t="s">
        <v>427</v>
      </c>
      <c r="E206" s="10" t="s">
        <v>428</v>
      </c>
      <c r="F206" s="10">
        <v>33.035922742399997</v>
      </c>
      <c r="G206" s="10">
        <v>44.180297592000002</v>
      </c>
      <c r="H206" s="11">
        <v>75</v>
      </c>
      <c r="I206" s="11">
        <v>450</v>
      </c>
      <c r="J206" s="11"/>
      <c r="K206" s="11">
        <v>23</v>
      </c>
      <c r="L206" s="11">
        <v>42</v>
      </c>
      <c r="M206" s="11"/>
      <c r="N206" s="11"/>
      <c r="O206" s="11"/>
      <c r="P206" s="11">
        <v>10</v>
      </c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>
        <v>75</v>
      </c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>
        <v>75</v>
      </c>
      <c r="AQ206" s="11"/>
      <c r="AR206" s="11"/>
      <c r="AS206" s="11"/>
      <c r="AT206" s="11"/>
      <c r="AU206" s="20" t="str">
        <f>HYPERLINK("http://www.openstreetmap.org/?mlat=33.0359&amp;mlon=44.1803&amp;zoom=12#map=12/33.0359/44.1803","Maplink1")</f>
        <v>Maplink1</v>
      </c>
      <c r="AV206" s="20" t="str">
        <f>HYPERLINK("https://www.google.iq/maps/search/+33.0359,44.1803/@33.0359,44.1803,14z?hl=en","Maplink2")</f>
        <v>Maplink2</v>
      </c>
      <c r="AW206" s="20" t="str">
        <f>HYPERLINK("http://www.bing.com/maps/?lvl=14&amp;sty=h&amp;cp=33.0359~44.1803&amp;sp=point.33.0359_44.1803","Maplink3")</f>
        <v>Maplink3</v>
      </c>
    </row>
    <row r="207" spans="1:49" x14ac:dyDescent="0.25">
      <c r="A207" s="9">
        <v>29527</v>
      </c>
      <c r="B207" s="10" t="s">
        <v>10</v>
      </c>
      <c r="C207" s="10" t="s">
        <v>420</v>
      </c>
      <c r="D207" s="10" t="s">
        <v>429</v>
      </c>
      <c r="E207" s="10" t="s">
        <v>430</v>
      </c>
      <c r="F207" s="10">
        <v>33.042396330000003</v>
      </c>
      <c r="G207" s="10">
        <v>44.188075120000001</v>
      </c>
      <c r="H207" s="11">
        <v>25</v>
      </c>
      <c r="I207" s="11">
        <v>150</v>
      </c>
      <c r="J207" s="11"/>
      <c r="K207" s="11"/>
      <c r="L207" s="11">
        <v>25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>
        <v>25</v>
      </c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>
        <v>25</v>
      </c>
      <c r="AQ207" s="11"/>
      <c r="AR207" s="11"/>
      <c r="AS207" s="11"/>
      <c r="AT207" s="11"/>
      <c r="AU207" s="20" t="str">
        <f>HYPERLINK("http://www.openstreetmap.org/?mlat=33.0424&amp;mlon=44.1881&amp;zoom=12#map=12/33.0424/44.1881","Maplink1")</f>
        <v>Maplink1</v>
      </c>
      <c r="AV207" s="20" t="str">
        <f>HYPERLINK("https://www.google.iq/maps/search/+33.0424,44.1881/@33.0424,44.1881,14z?hl=en","Maplink2")</f>
        <v>Maplink2</v>
      </c>
      <c r="AW207" s="20" t="str">
        <f>HYPERLINK("http://www.bing.com/maps/?lvl=14&amp;sty=h&amp;cp=33.0424~44.1881&amp;sp=point.33.0424_44.1881","Maplink3")</f>
        <v>Maplink3</v>
      </c>
    </row>
    <row r="208" spans="1:49" x14ac:dyDescent="0.25">
      <c r="A208" s="9">
        <v>33224</v>
      </c>
      <c r="B208" s="10" t="s">
        <v>10</v>
      </c>
      <c r="C208" s="10" t="s">
        <v>420</v>
      </c>
      <c r="D208" s="10" t="s">
        <v>2079</v>
      </c>
      <c r="E208" s="10" t="s">
        <v>2080</v>
      </c>
      <c r="F208" s="10">
        <v>33.089941000000003</v>
      </c>
      <c r="G208" s="10">
        <v>44.244892999999998</v>
      </c>
      <c r="H208" s="11">
        <v>80</v>
      </c>
      <c r="I208" s="11">
        <v>480</v>
      </c>
      <c r="J208" s="11"/>
      <c r="K208" s="11"/>
      <c r="L208" s="11">
        <v>80</v>
      </c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>
        <v>80</v>
      </c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>
        <v>80</v>
      </c>
      <c r="AQ208" s="11"/>
      <c r="AR208" s="11"/>
      <c r="AS208" s="11"/>
      <c r="AT208" s="11"/>
      <c r="AU208" s="20" t="str">
        <f>HYPERLINK("http://www.openstreetmap.org/?mlat=33.0899&amp;mlon=44.2449&amp;zoom=12#map=12/33.0899/44.2449","Maplink1")</f>
        <v>Maplink1</v>
      </c>
      <c r="AV208" s="20" t="str">
        <f>HYPERLINK("https://www.google.iq/maps/search/+33.0899,44.2449/@33.0899,44.2449,14z?hl=en","Maplink2")</f>
        <v>Maplink2</v>
      </c>
      <c r="AW208" s="20" t="str">
        <f>HYPERLINK("http://www.bing.com/maps/?lvl=14&amp;sty=h&amp;cp=33.0899~44.2449&amp;sp=point.33.0899_44.2449","Maplink3")</f>
        <v>Maplink3</v>
      </c>
    </row>
    <row r="209" spans="1:49" x14ac:dyDescent="0.25">
      <c r="A209" s="9">
        <v>33108</v>
      </c>
      <c r="B209" s="10" t="s">
        <v>10</v>
      </c>
      <c r="C209" s="10" t="s">
        <v>420</v>
      </c>
      <c r="D209" s="10" t="s">
        <v>1588</v>
      </c>
      <c r="E209" s="10" t="s">
        <v>1589</v>
      </c>
      <c r="F209" s="10">
        <v>33.020412</v>
      </c>
      <c r="G209" s="10">
        <v>44.148896999999998</v>
      </c>
      <c r="H209" s="11">
        <v>140</v>
      </c>
      <c r="I209" s="11">
        <v>840</v>
      </c>
      <c r="J209" s="11"/>
      <c r="K209" s="11">
        <v>30</v>
      </c>
      <c r="L209" s="11">
        <v>110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>
        <v>140</v>
      </c>
      <c r="AD209" s="11"/>
      <c r="AE209" s="11"/>
      <c r="AF209" s="11"/>
      <c r="AG209" s="11"/>
      <c r="AH209" s="11"/>
      <c r="AI209" s="11"/>
      <c r="AJ209" s="11"/>
      <c r="AK209" s="11"/>
      <c r="AL209" s="11"/>
      <c r="AM209" s="11">
        <v>140</v>
      </c>
      <c r="AN209" s="11"/>
      <c r="AO209" s="11"/>
      <c r="AP209" s="11"/>
      <c r="AQ209" s="11"/>
      <c r="AR209" s="11"/>
      <c r="AS209" s="11"/>
      <c r="AT209" s="11"/>
      <c r="AU209" s="20" t="str">
        <f>HYPERLINK("http://www.openstreetmap.org/?mlat=33.0204&amp;mlon=44.1489&amp;zoom=12#map=12/33.0204/44.1489","Maplink1")</f>
        <v>Maplink1</v>
      </c>
      <c r="AV209" s="20" t="str">
        <f>HYPERLINK("https://www.google.iq/maps/search/+33.0204,44.1489/@33.0204,44.1489,14z?hl=en","Maplink2")</f>
        <v>Maplink2</v>
      </c>
      <c r="AW209" s="20" t="str">
        <f>HYPERLINK("http://www.bing.com/maps/?lvl=14&amp;sty=h&amp;cp=33.0204~44.1489&amp;sp=point.33.0204_44.1489","Maplink3")</f>
        <v>Maplink3</v>
      </c>
    </row>
    <row r="210" spans="1:49" x14ac:dyDescent="0.25">
      <c r="A210" s="9">
        <v>33168</v>
      </c>
      <c r="B210" s="10" t="s">
        <v>10</v>
      </c>
      <c r="C210" s="10" t="s">
        <v>420</v>
      </c>
      <c r="D210" s="10" t="s">
        <v>1824</v>
      </c>
      <c r="E210" s="10" t="s">
        <v>2081</v>
      </c>
      <c r="F210" s="10">
        <v>33.034388</v>
      </c>
      <c r="G210" s="10">
        <v>44.202958000000002</v>
      </c>
      <c r="H210" s="11">
        <v>360</v>
      </c>
      <c r="I210" s="11">
        <v>2160</v>
      </c>
      <c r="J210" s="11"/>
      <c r="K210" s="11"/>
      <c r="L210" s="11">
        <v>330</v>
      </c>
      <c r="M210" s="11"/>
      <c r="N210" s="11"/>
      <c r="O210" s="11"/>
      <c r="P210" s="11">
        <v>30</v>
      </c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>
        <v>360</v>
      </c>
      <c r="AD210" s="11"/>
      <c r="AE210" s="11"/>
      <c r="AF210" s="11"/>
      <c r="AG210" s="11"/>
      <c r="AH210" s="11"/>
      <c r="AI210" s="11"/>
      <c r="AJ210" s="11"/>
      <c r="AK210" s="11"/>
      <c r="AL210" s="11"/>
      <c r="AM210" s="11">
        <v>360</v>
      </c>
      <c r="AN210" s="11"/>
      <c r="AO210" s="11"/>
      <c r="AP210" s="11"/>
      <c r="AQ210" s="11"/>
      <c r="AR210" s="11"/>
      <c r="AS210" s="11"/>
      <c r="AT210" s="11"/>
      <c r="AU210" s="20" t="str">
        <f>HYPERLINK("http://www.openstreetmap.org/?mlat=33.0344&amp;mlon=44.203&amp;zoom=12#map=12/33.0344/44.203","Maplink1")</f>
        <v>Maplink1</v>
      </c>
      <c r="AV210" s="20" t="str">
        <f>HYPERLINK("https://www.google.iq/maps/search/+33.0344,44.203/@33.0344,44.203,14z?hl=en","Maplink2")</f>
        <v>Maplink2</v>
      </c>
      <c r="AW210" s="20" t="str">
        <f>HYPERLINK("http://www.bing.com/maps/?lvl=14&amp;sty=h&amp;cp=33.0344~44.203&amp;sp=point.33.0344_44.203","Maplink3")</f>
        <v>Maplink3</v>
      </c>
    </row>
    <row r="211" spans="1:49" x14ac:dyDescent="0.25">
      <c r="A211" s="9">
        <v>32096</v>
      </c>
      <c r="B211" s="10" t="s">
        <v>10</v>
      </c>
      <c r="C211" s="10" t="s">
        <v>420</v>
      </c>
      <c r="D211" s="10" t="s">
        <v>431</v>
      </c>
      <c r="E211" s="10" t="s">
        <v>432</v>
      </c>
      <c r="F211" s="10">
        <v>33.039740999999999</v>
      </c>
      <c r="G211" s="10">
        <v>44.185879</v>
      </c>
      <c r="H211" s="11">
        <v>153</v>
      </c>
      <c r="I211" s="11">
        <v>918</v>
      </c>
      <c r="J211" s="11"/>
      <c r="K211" s="11"/>
      <c r="L211" s="11">
        <v>110</v>
      </c>
      <c r="M211" s="11"/>
      <c r="N211" s="11"/>
      <c r="O211" s="11"/>
      <c r="P211" s="11">
        <v>43</v>
      </c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>
        <v>153</v>
      </c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>
        <v>153</v>
      </c>
      <c r="AP211" s="11"/>
      <c r="AQ211" s="11"/>
      <c r="AR211" s="11"/>
      <c r="AS211" s="11"/>
      <c r="AT211" s="11"/>
      <c r="AU211" s="20" t="str">
        <f>HYPERLINK("http://www.openstreetmap.org/?mlat=33.0397&amp;mlon=44.1859&amp;zoom=12#map=12/33.0397/44.1859","Maplink1")</f>
        <v>Maplink1</v>
      </c>
      <c r="AV211" s="20" t="str">
        <f>HYPERLINK("https://www.google.iq/maps/search/+33.0397,44.1859/@33.0397,44.1859,14z?hl=en","Maplink2")</f>
        <v>Maplink2</v>
      </c>
      <c r="AW211" s="20" t="str">
        <f>HYPERLINK("http://www.bing.com/maps/?lvl=14&amp;sty=h&amp;cp=33.0397~44.1859&amp;sp=point.33.0397_44.1859","Maplink3")</f>
        <v>Maplink3</v>
      </c>
    </row>
    <row r="212" spans="1:49" x14ac:dyDescent="0.25">
      <c r="A212" s="9">
        <v>33107</v>
      </c>
      <c r="B212" s="10" t="s">
        <v>10</v>
      </c>
      <c r="C212" s="10" t="s">
        <v>420</v>
      </c>
      <c r="D212" s="10" t="s">
        <v>1590</v>
      </c>
      <c r="E212" s="10" t="s">
        <v>1591</v>
      </c>
      <c r="F212" s="10">
        <v>33.030745000000003</v>
      </c>
      <c r="G212" s="10">
        <v>44.196482000000003</v>
      </c>
      <c r="H212" s="11">
        <v>200</v>
      </c>
      <c r="I212" s="11">
        <v>1200</v>
      </c>
      <c r="J212" s="11"/>
      <c r="K212" s="11">
        <v>25</v>
      </c>
      <c r="L212" s="11">
        <v>145</v>
      </c>
      <c r="M212" s="11"/>
      <c r="N212" s="11"/>
      <c r="O212" s="11"/>
      <c r="P212" s="11">
        <v>30</v>
      </c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>
        <v>200</v>
      </c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>
        <v>200</v>
      </c>
      <c r="AP212" s="11"/>
      <c r="AQ212" s="11"/>
      <c r="AR212" s="11"/>
      <c r="AS212" s="11"/>
      <c r="AT212" s="11"/>
      <c r="AU212" s="20" t="str">
        <f>HYPERLINK("http://www.openstreetmap.org/?mlat=33.0307&amp;mlon=44.1965&amp;zoom=12#map=12/33.0307/44.1965","Maplink1")</f>
        <v>Maplink1</v>
      </c>
      <c r="AV212" s="20" t="str">
        <f>HYPERLINK("https://www.google.iq/maps/search/+33.0307,44.1965/@33.0307,44.1965,14z?hl=en","Maplink2")</f>
        <v>Maplink2</v>
      </c>
      <c r="AW212" s="20" t="str">
        <f>HYPERLINK("http://www.bing.com/maps/?lvl=14&amp;sty=h&amp;cp=33.0307~44.1965&amp;sp=point.33.0307_44.1965","Maplink3")</f>
        <v>Maplink3</v>
      </c>
    </row>
    <row r="213" spans="1:49" x14ac:dyDescent="0.25">
      <c r="A213" s="9">
        <v>33103</v>
      </c>
      <c r="B213" s="10" t="s">
        <v>10</v>
      </c>
      <c r="C213" s="10" t="s">
        <v>420</v>
      </c>
      <c r="D213" s="10" t="s">
        <v>1592</v>
      </c>
      <c r="E213" s="10" t="s">
        <v>1593</v>
      </c>
      <c r="F213" s="10">
        <v>33.089934</v>
      </c>
      <c r="G213" s="10">
        <v>44.244785999999998</v>
      </c>
      <c r="H213" s="11">
        <v>75</v>
      </c>
      <c r="I213" s="11">
        <v>450</v>
      </c>
      <c r="J213" s="11"/>
      <c r="K213" s="11"/>
      <c r="L213" s="11">
        <v>75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>
        <v>75</v>
      </c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>
        <v>75</v>
      </c>
      <c r="AQ213" s="11"/>
      <c r="AR213" s="11"/>
      <c r="AS213" s="11"/>
      <c r="AT213" s="11"/>
      <c r="AU213" s="20" t="str">
        <f>HYPERLINK("http://www.openstreetmap.org/?mlat=33.0899&amp;mlon=44.2448&amp;zoom=12#map=12/33.0899/44.2448","Maplink1")</f>
        <v>Maplink1</v>
      </c>
      <c r="AV213" s="20" t="str">
        <f>HYPERLINK("https://www.google.iq/maps/search/+33.0899,44.2448/@33.0899,44.2448,14z?hl=en","Maplink2")</f>
        <v>Maplink2</v>
      </c>
      <c r="AW213" s="20" t="str">
        <f>HYPERLINK("http://www.bing.com/maps/?lvl=14&amp;sty=h&amp;cp=33.0899~44.2448&amp;sp=point.33.0899_44.2448","Maplink3")</f>
        <v>Maplink3</v>
      </c>
    </row>
    <row r="214" spans="1:49" x14ac:dyDescent="0.25">
      <c r="A214" s="9">
        <v>33105</v>
      </c>
      <c r="B214" s="10" t="s">
        <v>10</v>
      </c>
      <c r="C214" s="10" t="s">
        <v>420</v>
      </c>
      <c r="D214" s="10" t="s">
        <v>1594</v>
      </c>
      <c r="E214" s="10" t="s">
        <v>1595</v>
      </c>
      <c r="F214" s="10">
        <v>33.028697000000001</v>
      </c>
      <c r="G214" s="10">
        <v>44.172659000000003</v>
      </c>
      <c r="H214" s="11">
        <v>295</v>
      </c>
      <c r="I214" s="11">
        <v>1770</v>
      </c>
      <c r="J214" s="11"/>
      <c r="K214" s="11">
        <v>50</v>
      </c>
      <c r="L214" s="11">
        <v>245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>
        <v>295</v>
      </c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>
        <v>295</v>
      </c>
      <c r="AQ214" s="11"/>
      <c r="AR214" s="11"/>
      <c r="AS214" s="11"/>
      <c r="AT214" s="11"/>
      <c r="AU214" s="20" t="str">
        <f>HYPERLINK("http://www.openstreetmap.org/?mlat=33.0287&amp;mlon=44.1727&amp;zoom=12#map=12/33.0287/44.1727","Maplink1")</f>
        <v>Maplink1</v>
      </c>
      <c r="AV214" s="20" t="str">
        <f>HYPERLINK("https://www.google.iq/maps/search/+33.0287,44.1727/@33.0287,44.1727,14z?hl=en","Maplink2")</f>
        <v>Maplink2</v>
      </c>
      <c r="AW214" s="20" t="str">
        <f>HYPERLINK("http://www.bing.com/maps/?lvl=14&amp;sty=h&amp;cp=33.0287~44.1727&amp;sp=point.33.0287_44.1727","Maplink3")</f>
        <v>Maplink3</v>
      </c>
    </row>
    <row r="215" spans="1:49" x14ac:dyDescent="0.25">
      <c r="A215" s="9">
        <v>33109</v>
      </c>
      <c r="B215" s="10" t="s">
        <v>10</v>
      </c>
      <c r="C215" s="10" t="s">
        <v>420</v>
      </c>
      <c r="D215" s="10" t="s">
        <v>1596</v>
      </c>
      <c r="E215" s="10" t="s">
        <v>1597</v>
      </c>
      <c r="F215" s="10">
        <v>33.022979999999997</v>
      </c>
      <c r="G215" s="10">
        <v>44.157969999999999</v>
      </c>
      <c r="H215" s="11">
        <v>175</v>
      </c>
      <c r="I215" s="11">
        <v>1050</v>
      </c>
      <c r="J215" s="11"/>
      <c r="K215" s="11">
        <v>25</v>
      </c>
      <c r="L215" s="11">
        <v>150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>
        <v>175</v>
      </c>
      <c r="AD215" s="11"/>
      <c r="AE215" s="11"/>
      <c r="AF215" s="11"/>
      <c r="AG215" s="11"/>
      <c r="AH215" s="11"/>
      <c r="AI215" s="11"/>
      <c r="AJ215" s="11"/>
      <c r="AK215" s="11"/>
      <c r="AL215" s="11"/>
      <c r="AM215" s="11">
        <v>175</v>
      </c>
      <c r="AN215" s="11"/>
      <c r="AO215" s="11"/>
      <c r="AP215" s="11"/>
      <c r="AQ215" s="11"/>
      <c r="AR215" s="11"/>
      <c r="AS215" s="11"/>
      <c r="AT215" s="11"/>
      <c r="AU215" s="20" t="str">
        <f>HYPERLINK("http://www.openstreetmap.org/?mlat=33.023&amp;mlon=44.158&amp;zoom=12#map=12/33.023/44.158","Maplink1")</f>
        <v>Maplink1</v>
      </c>
      <c r="AV215" s="20" t="str">
        <f>HYPERLINK("https://www.google.iq/maps/search/+33.023,44.158/@33.023,44.158,14z?hl=en","Maplink2")</f>
        <v>Maplink2</v>
      </c>
      <c r="AW215" s="20" t="str">
        <f>HYPERLINK("http://www.bing.com/maps/?lvl=14&amp;sty=h&amp;cp=33.023~44.158&amp;sp=point.33.023_44.158","Maplink3")</f>
        <v>Maplink3</v>
      </c>
    </row>
    <row r="216" spans="1:49" x14ac:dyDescent="0.25">
      <c r="A216" s="9">
        <v>22382</v>
      </c>
      <c r="B216" s="10" t="s">
        <v>10</v>
      </c>
      <c r="C216" s="10" t="s">
        <v>420</v>
      </c>
      <c r="D216" s="10" t="s">
        <v>433</v>
      </c>
      <c r="E216" s="10" t="s">
        <v>1598</v>
      </c>
      <c r="F216" s="10">
        <v>33.039753730000001</v>
      </c>
      <c r="G216" s="10">
        <v>44.191424619999999</v>
      </c>
      <c r="H216" s="11">
        <v>210</v>
      </c>
      <c r="I216" s="11">
        <v>1260</v>
      </c>
      <c r="J216" s="11"/>
      <c r="K216" s="11"/>
      <c r="L216" s="11">
        <v>210</v>
      </c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>
        <v>210</v>
      </c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>
        <v>210</v>
      </c>
      <c r="AQ216" s="11"/>
      <c r="AR216" s="11"/>
      <c r="AS216" s="11"/>
      <c r="AT216" s="11"/>
      <c r="AU216" s="20" t="str">
        <f>HYPERLINK("http://www.openstreetmap.org/?mlat=33.0398&amp;mlon=44.1914&amp;zoom=12#map=12/33.0398/44.1914","Maplink1")</f>
        <v>Maplink1</v>
      </c>
      <c r="AV216" s="20" t="str">
        <f>HYPERLINK("https://www.google.iq/maps/search/+33.0398,44.1914/@33.0398,44.1914,14z?hl=en","Maplink2")</f>
        <v>Maplink2</v>
      </c>
      <c r="AW216" s="20" t="str">
        <f>HYPERLINK("http://www.bing.com/maps/?lvl=14&amp;sty=h&amp;cp=33.0398~44.1914&amp;sp=point.33.0398_44.1914","Maplink3")</f>
        <v>Maplink3</v>
      </c>
    </row>
    <row r="217" spans="1:49" x14ac:dyDescent="0.25">
      <c r="A217" s="9">
        <v>7350</v>
      </c>
      <c r="B217" s="10" t="s">
        <v>10</v>
      </c>
      <c r="C217" s="10" t="s">
        <v>420</v>
      </c>
      <c r="D217" s="10" t="s">
        <v>434</v>
      </c>
      <c r="E217" s="10" t="s">
        <v>435</v>
      </c>
      <c r="F217" s="10">
        <v>33.029121410000002</v>
      </c>
      <c r="G217" s="10">
        <v>44.212628930000001</v>
      </c>
      <c r="H217" s="11">
        <v>400</v>
      </c>
      <c r="I217" s="11">
        <v>2400</v>
      </c>
      <c r="J217" s="11"/>
      <c r="K217" s="11">
        <v>55</v>
      </c>
      <c r="L217" s="11">
        <v>345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>
        <v>400</v>
      </c>
      <c r="AD217" s="11"/>
      <c r="AE217" s="11"/>
      <c r="AF217" s="11"/>
      <c r="AG217" s="11"/>
      <c r="AH217" s="11"/>
      <c r="AI217" s="11"/>
      <c r="AJ217" s="11"/>
      <c r="AK217" s="11"/>
      <c r="AL217" s="11"/>
      <c r="AM217" s="11">
        <v>400</v>
      </c>
      <c r="AN217" s="11"/>
      <c r="AO217" s="11"/>
      <c r="AP217" s="11"/>
      <c r="AQ217" s="11"/>
      <c r="AR217" s="11"/>
      <c r="AS217" s="11"/>
      <c r="AT217" s="11"/>
      <c r="AU217" s="20" t="str">
        <f>HYPERLINK("http://www.openstreetmap.org/?mlat=33.0291&amp;mlon=44.2126&amp;zoom=12#map=12/33.0291/44.2126","Maplink1")</f>
        <v>Maplink1</v>
      </c>
      <c r="AV217" s="20" t="str">
        <f>HYPERLINK("https://www.google.iq/maps/search/+33.0291,44.2126/@33.0291,44.2126,14z?hl=en","Maplink2")</f>
        <v>Maplink2</v>
      </c>
      <c r="AW217" s="20" t="str">
        <f>HYPERLINK("http://www.bing.com/maps/?lvl=14&amp;sty=h&amp;cp=33.0291~44.2126&amp;sp=point.33.0291_44.2126","Maplink3")</f>
        <v>Maplink3</v>
      </c>
    </row>
    <row r="218" spans="1:49" x14ac:dyDescent="0.25">
      <c r="A218" s="9">
        <v>33183</v>
      </c>
      <c r="B218" s="10" t="s">
        <v>10</v>
      </c>
      <c r="C218" s="10" t="s">
        <v>420</v>
      </c>
      <c r="D218" s="10" t="s">
        <v>1825</v>
      </c>
      <c r="E218" s="10" t="s">
        <v>1826</v>
      </c>
      <c r="F218" s="10">
        <v>33.108393</v>
      </c>
      <c r="G218" s="10">
        <v>44.093995999999997</v>
      </c>
      <c r="H218" s="11">
        <v>300</v>
      </c>
      <c r="I218" s="11">
        <v>1800</v>
      </c>
      <c r="J218" s="11"/>
      <c r="K218" s="11">
        <v>30</v>
      </c>
      <c r="L218" s="11">
        <v>270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>
        <v>300</v>
      </c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>
        <v>300</v>
      </c>
      <c r="AQ218" s="11"/>
      <c r="AR218" s="11"/>
      <c r="AS218" s="11"/>
      <c r="AT218" s="11"/>
      <c r="AU218" s="20" t="str">
        <f>HYPERLINK("http://www.openstreetmap.org/?mlat=33.1084&amp;mlon=44.094&amp;zoom=12#map=12/33.1084/44.094","Maplink1")</f>
        <v>Maplink1</v>
      </c>
      <c r="AV218" s="20" t="str">
        <f>HYPERLINK("https://www.google.iq/maps/search/+33.1084,44.094/@33.1084,44.094,14z?hl=en","Maplink2")</f>
        <v>Maplink2</v>
      </c>
      <c r="AW218" s="20" t="str">
        <f>HYPERLINK("http://www.bing.com/maps/?lvl=14&amp;sty=h&amp;cp=33.1084~44.094&amp;sp=point.33.1084_44.094","Maplink3")</f>
        <v>Maplink3</v>
      </c>
    </row>
    <row r="219" spans="1:49" x14ac:dyDescent="0.25">
      <c r="A219" s="9">
        <v>33184</v>
      </c>
      <c r="B219" s="10" t="s">
        <v>10</v>
      </c>
      <c r="C219" s="10" t="s">
        <v>420</v>
      </c>
      <c r="D219" s="10" t="s">
        <v>1825</v>
      </c>
      <c r="E219" s="10" t="s">
        <v>1827</v>
      </c>
      <c r="F219" s="10">
        <v>33.100087000000002</v>
      </c>
      <c r="G219" s="10">
        <v>44.095742999999999</v>
      </c>
      <c r="H219" s="11">
        <v>350</v>
      </c>
      <c r="I219" s="11">
        <v>2100</v>
      </c>
      <c r="J219" s="11"/>
      <c r="K219" s="11">
        <v>40</v>
      </c>
      <c r="L219" s="11">
        <v>310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>
        <v>350</v>
      </c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>
        <v>350</v>
      </c>
      <c r="AQ219" s="11"/>
      <c r="AR219" s="11"/>
      <c r="AS219" s="11"/>
      <c r="AT219" s="11"/>
      <c r="AU219" s="20" t="str">
        <f>HYPERLINK("http://www.openstreetmap.org/?mlat=33.1001&amp;mlon=44.0957&amp;zoom=12#map=12/33.1001/44.0957","Maplink1")</f>
        <v>Maplink1</v>
      </c>
      <c r="AV219" s="20" t="str">
        <f>HYPERLINK("https://www.google.iq/maps/search/+33.1001,44.0957/@33.1001,44.0957,14z?hl=en","Maplink2")</f>
        <v>Maplink2</v>
      </c>
      <c r="AW219" s="20" t="str">
        <f>HYPERLINK("http://www.bing.com/maps/?lvl=14&amp;sty=h&amp;cp=33.1001~44.0957&amp;sp=point.33.1001_44.0957","Maplink3")</f>
        <v>Maplink3</v>
      </c>
    </row>
    <row r="220" spans="1:49" x14ac:dyDescent="0.25">
      <c r="A220" s="9">
        <v>32101</v>
      </c>
      <c r="B220" s="10" t="s">
        <v>10</v>
      </c>
      <c r="C220" s="10" t="s">
        <v>420</v>
      </c>
      <c r="D220" s="10" t="s">
        <v>436</v>
      </c>
      <c r="E220" s="10" t="s">
        <v>437</v>
      </c>
      <c r="F220" s="10">
        <v>33.039284000000002</v>
      </c>
      <c r="G220" s="10">
        <v>44.195051999999997</v>
      </c>
      <c r="H220" s="11">
        <v>170</v>
      </c>
      <c r="I220" s="11">
        <v>1020</v>
      </c>
      <c r="J220" s="11"/>
      <c r="K220" s="11"/>
      <c r="L220" s="11">
        <v>134</v>
      </c>
      <c r="M220" s="11"/>
      <c r="N220" s="11"/>
      <c r="O220" s="11"/>
      <c r="P220" s="11">
        <v>36</v>
      </c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>
        <v>170</v>
      </c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>
        <v>170</v>
      </c>
      <c r="AQ220" s="11"/>
      <c r="AR220" s="11"/>
      <c r="AS220" s="11"/>
      <c r="AT220" s="11"/>
      <c r="AU220" s="20" t="str">
        <f>HYPERLINK("http://www.openstreetmap.org/?mlat=33.0393&amp;mlon=44.1951&amp;zoom=12#map=12/33.0393/44.1951","Maplink1")</f>
        <v>Maplink1</v>
      </c>
      <c r="AV220" s="20" t="str">
        <f>HYPERLINK("https://www.google.iq/maps/search/+33.0393,44.1951/@33.0393,44.1951,14z?hl=en","Maplink2")</f>
        <v>Maplink2</v>
      </c>
      <c r="AW220" s="20" t="str">
        <f>HYPERLINK("http://www.bing.com/maps/?lvl=14&amp;sty=h&amp;cp=33.0393~44.1951&amp;sp=point.33.0393_44.1951","Maplink3")</f>
        <v>Maplink3</v>
      </c>
    </row>
    <row r="221" spans="1:49" x14ac:dyDescent="0.25">
      <c r="A221" s="9">
        <v>32064</v>
      </c>
      <c r="B221" s="10" t="s">
        <v>10</v>
      </c>
      <c r="C221" s="10" t="s">
        <v>420</v>
      </c>
      <c r="D221" s="10" t="s">
        <v>438</v>
      </c>
      <c r="E221" s="10" t="s">
        <v>439</v>
      </c>
      <c r="F221" s="10">
        <v>33.169396999999996</v>
      </c>
      <c r="G221" s="10">
        <v>44.010621999999998</v>
      </c>
      <c r="H221" s="11">
        <v>20</v>
      </c>
      <c r="I221" s="11">
        <v>120</v>
      </c>
      <c r="J221" s="11"/>
      <c r="K221" s="11"/>
      <c r="L221" s="11">
        <v>20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>
        <v>20</v>
      </c>
      <c r="AD221" s="11"/>
      <c r="AE221" s="11"/>
      <c r="AF221" s="11"/>
      <c r="AG221" s="11"/>
      <c r="AH221" s="11"/>
      <c r="AI221" s="11"/>
      <c r="AJ221" s="11"/>
      <c r="AK221" s="11"/>
      <c r="AL221" s="11"/>
      <c r="AM221" s="11">
        <v>20</v>
      </c>
      <c r="AN221" s="11"/>
      <c r="AO221" s="11"/>
      <c r="AP221" s="11"/>
      <c r="AQ221" s="11"/>
      <c r="AR221" s="11"/>
      <c r="AS221" s="11"/>
      <c r="AT221" s="11"/>
      <c r="AU221" s="20" t="str">
        <f>HYPERLINK("http://www.openstreetmap.org/?mlat=33.1694&amp;mlon=44.0106&amp;zoom=12#map=12/33.1694/44.0106","Maplink1")</f>
        <v>Maplink1</v>
      </c>
      <c r="AV221" s="20" t="str">
        <f>HYPERLINK("https://www.google.iq/maps/search/+33.1694,44.0106/@33.1694,44.0106,14z?hl=en","Maplink2")</f>
        <v>Maplink2</v>
      </c>
      <c r="AW221" s="20" t="str">
        <f>HYPERLINK("http://www.bing.com/maps/?lvl=14&amp;sty=h&amp;cp=33.1694~44.0106&amp;sp=point.33.1694_44.0106","Maplink3")</f>
        <v>Maplink3</v>
      </c>
    </row>
    <row r="222" spans="1:49" x14ac:dyDescent="0.25">
      <c r="A222" s="9">
        <v>7682</v>
      </c>
      <c r="B222" s="10" t="s">
        <v>10</v>
      </c>
      <c r="C222" s="10" t="s">
        <v>420</v>
      </c>
      <c r="D222" s="10" t="s">
        <v>440</v>
      </c>
      <c r="E222" s="10" t="s">
        <v>441</v>
      </c>
      <c r="F222" s="10">
        <v>33.038573999999997</v>
      </c>
      <c r="G222" s="10">
        <v>44.203885999999997</v>
      </c>
      <c r="H222" s="11">
        <v>486</v>
      </c>
      <c r="I222" s="11">
        <v>2916</v>
      </c>
      <c r="J222" s="11"/>
      <c r="K222" s="11"/>
      <c r="L222" s="11">
        <v>486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>
        <v>423</v>
      </c>
      <c r="AD222" s="11">
        <v>63</v>
      </c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>
        <v>291</v>
      </c>
      <c r="AP222" s="11">
        <v>195</v>
      </c>
      <c r="AQ222" s="11"/>
      <c r="AR222" s="11"/>
      <c r="AS222" s="11"/>
      <c r="AT222" s="11"/>
      <c r="AU222" s="20" t="str">
        <f>HYPERLINK("http://www.openstreetmap.org/?mlat=33.0386&amp;mlon=44.2039&amp;zoom=12#map=12/33.0386/44.2039","Maplink1")</f>
        <v>Maplink1</v>
      </c>
      <c r="AV222" s="20" t="str">
        <f>HYPERLINK("https://www.google.iq/maps/search/+33.0386,44.2039/@33.0386,44.2039,14z?hl=en","Maplink2")</f>
        <v>Maplink2</v>
      </c>
      <c r="AW222" s="20" t="str">
        <f>HYPERLINK("http://www.bing.com/maps/?lvl=14&amp;sty=h&amp;cp=33.0386~44.2039&amp;sp=point.33.0386_44.2039","Maplink3")</f>
        <v>Maplink3</v>
      </c>
    </row>
    <row r="223" spans="1:49" x14ac:dyDescent="0.25">
      <c r="A223" s="9">
        <v>33225</v>
      </c>
      <c r="B223" s="10" t="s">
        <v>10</v>
      </c>
      <c r="C223" s="10" t="s">
        <v>420</v>
      </c>
      <c r="D223" s="10" t="s">
        <v>2082</v>
      </c>
      <c r="E223" s="10" t="s">
        <v>2083</v>
      </c>
      <c r="F223" s="10">
        <v>33.075557000000003</v>
      </c>
      <c r="G223" s="10">
        <v>44.121611000000001</v>
      </c>
      <c r="H223" s="11">
        <v>350</v>
      </c>
      <c r="I223" s="11">
        <v>2100</v>
      </c>
      <c r="J223" s="11"/>
      <c r="K223" s="11">
        <v>14</v>
      </c>
      <c r="L223" s="11">
        <v>331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>
        <v>5</v>
      </c>
      <c r="Z223" s="11"/>
      <c r="AA223" s="11"/>
      <c r="AB223" s="11"/>
      <c r="AC223" s="11">
        <v>350</v>
      </c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>
        <v>350</v>
      </c>
      <c r="AQ223" s="11"/>
      <c r="AR223" s="11"/>
      <c r="AS223" s="11"/>
      <c r="AT223" s="11"/>
      <c r="AU223" s="20" t="str">
        <f>HYPERLINK("http://www.openstreetmap.org/?mlat=33.0756&amp;mlon=44.1216&amp;zoom=12#map=12/33.0756/44.1216","Maplink1")</f>
        <v>Maplink1</v>
      </c>
      <c r="AV223" s="20" t="str">
        <f>HYPERLINK("https://www.google.iq/maps/search/+33.0756,44.1216/@33.0756,44.1216,14z?hl=en","Maplink2")</f>
        <v>Maplink2</v>
      </c>
      <c r="AW223" s="20" t="str">
        <f>HYPERLINK("http://www.bing.com/maps/?lvl=14&amp;sty=h&amp;cp=33.0756~44.1216&amp;sp=point.33.0756_44.1216","Maplink3")</f>
        <v>Maplink3</v>
      </c>
    </row>
    <row r="224" spans="1:49" x14ac:dyDescent="0.25">
      <c r="A224" s="9">
        <v>29493</v>
      </c>
      <c r="B224" s="10" t="s">
        <v>10</v>
      </c>
      <c r="C224" s="10" t="s">
        <v>420</v>
      </c>
      <c r="D224" s="10" t="s">
        <v>442</v>
      </c>
      <c r="E224" s="10" t="s">
        <v>443</v>
      </c>
      <c r="F224" s="10">
        <v>33.038465330000001</v>
      </c>
      <c r="G224" s="10">
        <v>44.202811169999997</v>
      </c>
      <c r="H224" s="11">
        <v>70</v>
      </c>
      <c r="I224" s="11">
        <v>420</v>
      </c>
      <c r="J224" s="11"/>
      <c r="K224" s="11"/>
      <c r="L224" s="11">
        <v>70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>
        <v>70</v>
      </c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>
        <v>70</v>
      </c>
      <c r="AP224" s="11"/>
      <c r="AQ224" s="11"/>
      <c r="AR224" s="11"/>
      <c r="AS224" s="11"/>
      <c r="AT224" s="11"/>
      <c r="AU224" s="20" t="str">
        <f>HYPERLINK("http://www.openstreetmap.org/?mlat=33.0385&amp;mlon=44.2028&amp;zoom=12#map=12/33.0385/44.2028","Maplink1")</f>
        <v>Maplink1</v>
      </c>
      <c r="AV224" s="20" t="str">
        <f>HYPERLINK("https://www.google.iq/maps/search/+33.0385,44.2028/@33.0385,44.2028,14z?hl=en","Maplink2")</f>
        <v>Maplink2</v>
      </c>
      <c r="AW224" s="20" t="str">
        <f>HYPERLINK("http://www.bing.com/maps/?lvl=14&amp;sty=h&amp;cp=33.0385~44.2028&amp;sp=point.33.0385_44.2028","Maplink3")</f>
        <v>Maplink3</v>
      </c>
    </row>
    <row r="225" spans="1:49" x14ac:dyDescent="0.25">
      <c r="A225" s="9">
        <v>29492</v>
      </c>
      <c r="B225" s="10" t="s">
        <v>10</v>
      </c>
      <c r="C225" s="10" t="s">
        <v>420</v>
      </c>
      <c r="D225" s="10" t="s">
        <v>444</v>
      </c>
      <c r="E225" s="10" t="s">
        <v>445</v>
      </c>
      <c r="F225" s="10">
        <v>33.030382029999998</v>
      </c>
      <c r="G225" s="10">
        <v>44.210254480000003</v>
      </c>
      <c r="H225" s="11">
        <v>33</v>
      </c>
      <c r="I225" s="11">
        <v>198</v>
      </c>
      <c r="J225" s="11"/>
      <c r="K225" s="11"/>
      <c r="L225" s="11">
        <v>33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>
        <v>33</v>
      </c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>
        <v>33</v>
      </c>
      <c r="AQ225" s="11"/>
      <c r="AR225" s="11"/>
      <c r="AS225" s="11"/>
      <c r="AT225" s="11"/>
      <c r="AU225" s="20" t="str">
        <f>HYPERLINK("http://www.openstreetmap.org/?mlat=33.0304&amp;mlon=44.2103&amp;zoom=12#map=12/33.0304/44.2103","Maplink1")</f>
        <v>Maplink1</v>
      </c>
      <c r="AV225" s="20" t="str">
        <f>HYPERLINK("https://www.google.iq/maps/search/+33.0304,44.2103/@33.0304,44.2103,14z?hl=en","Maplink2")</f>
        <v>Maplink2</v>
      </c>
      <c r="AW225" s="20" t="str">
        <f>HYPERLINK("http://www.bing.com/maps/?lvl=14&amp;sty=h&amp;cp=33.0304~44.2103&amp;sp=point.33.0304_44.2103","Maplink3")</f>
        <v>Maplink3</v>
      </c>
    </row>
    <row r="226" spans="1:49" x14ac:dyDescent="0.25">
      <c r="A226" s="9">
        <v>29491</v>
      </c>
      <c r="B226" s="10" t="s">
        <v>10</v>
      </c>
      <c r="C226" s="10" t="s">
        <v>420</v>
      </c>
      <c r="D226" s="10" t="s">
        <v>446</v>
      </c>
      <c r="E226" s="10" t="s">
        <v>447</v>
      </c>
      <c r="F226" s="10">
        <v>33.045471589999998</v>
      </c>
      <c r="G226" s="10">
        <v>44.200152109999998</v>
      </c>
      <c r="H226" s="11">
        <v>320</v>
      </c>
      <c r="I226" s="11">
        <v>1920</v>
      </c>
      <c r="J226" s="11"/>
      <c r="K226" s="11">
        <v>20</v>
      </c>
      <c r="L226" s="11">
        <v>200</v>
      </c>
      <c r="M226" s="11"/>
      <c r="N226" s="11"/>
      <c r="O226" s="11"/>
      <c r="P226" s="11">
        <v>24</v>
      </c>
      <c r="Q226" s="11"/>
      <c r="R226" s="11"/>
      <c r="S226" s="11"/>
      <c r="T226" s="11"/>
      <c r="U226" s="11"/>
      <c r="V226" s="11"/>
      <c r="W226" s="11"/>
      <c r="X226" s="11"/>
      <c r="Y226" s="11">
        <v>76</v>
      </c>
      <c r="Z226" s="11"/>
      <c r="AA226" s="11"/>
      <c r="AB226" s="11"/>
      <c r="AC226" s="11">
        <v>320</v>
      </c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>
        <v>320</v>
      </c>
      <c r="AQ226" s="11"/>
      <c r="AR226" s="11"/>
      <c r="AS226" s="11"/>
      <c r="AT226" s="11"/>
      <c r="AU226" s="20" t="str">
        <f>HYPERLINK("http://www.openstreetmap.org/?mlat=33.0455&amp;mlon=44.2002&amp;zoom=12#map=12/33.0455/44.2002","Maplink1")</f>
        <v>Maplink1</v>
      </c>
      <c r="AV226" s="20" t="str">
        <f>HYPERLINK("https://www.google.iq/maps/search/+33.0455,44.2002/@33.0455,44.2002,14z?hl=en","Maplink2")</f>
        <v>Maplink2</v>
      </c>
      <c r="AW226" s="20" t="str">
        <f>HYPERLINK("http://www.bing.com/maps/?lvl=14&amp;sty=h&amp;cp=33.0455~44.2002&amp;sp=point.33.0455_44.2002","Maplink3")</f>
        <v>Maplink3</v>
      </c>
    </row>
    <row r="227" spans="1:49" x14ac:dyDescent="0.25">
      <c r="A227" s="9">
        <v>29490</v>
      </c>
      <c r="B227" s="10" t="s">
        <v>10</v>
      </c>
      <c r="C227" s="10" t="s">
        <v>420</v>
      </c>
      <c r="D227" s="10" t="s">
        <v>448</v>
      </c>
      <c r="E227" s="10" t="s">
        <v>449</v>
      </c>
      <c r="F227" s="10">
        <v>32.9908</v>
      </c>
      <c r="G227" s="10">
        <v>44.176000000000002</v>
      </c>
      <c r="H227" s="11">
        <v>400</v>
      </c>
      <c r="I227" s="11">
        <v>2400</v>
      </c>
      <c r="J227" s="11"/>
      <c r="K227" s="11"/>
      <c r="L227" s="11">
        <v>280</v>
      </c>
      <c r="M227" s="11"/>
      <c r="N227" s="11"/>
      <c r="O227" s="11"/>
      <c r="P227" s="11">
        <v>120</v>
      </c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>
        <v>400</v>
      </c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>
        <v>120</v>
      </c>
      <c r="AP227" s="11">
        <v>280</v>
      </c>
      <c r="AQ227" s="11"/>
      <c r="AR227" s="11"/>
      <c r="AS227" s="11"/>
      <c r="AT227" s="11"/>
      <c r="AU227" s="20" t="str">
        <f>HYPERLINK("http://www.openstreetmap.org/?mlat=32.9908&amp;mlon=44.176&amp;zoom=12#map=12/32.9908/44.176","Maplink1")</f>
        <v>Maplink1</v>
      </c>
      <c r="AV227" s="20" t="str">
        <f>HYPERLINK("https://www.google.iq/maps/search/+32.9908,44.176/@32.9908,44.176,14z?hl=en","Maplink2")</f>
        <v>Maplink2</v>
      </c>
      <c r="AW227" s="20" t="str">
        <f>HYPERLINK("http://www.bing.com/maps/?lvl=14&amp;sty=h&amp;cp=32.9908~44.176&amp;sp=point.32.9908_44.176","Maplink3")</f>
        <v>Maplink3</v>
      </c>
    </row>
    <row r="228" spans="1:49" x14ac:dyDescent="0.25">
      <c r="A228" s="9">
        <v>29528</v>
      </c>
      <c r="B228" s="10" t="s">
        <v>10</v>
      </c>
      <c r="C228" s="10" t="s">
        <v>420</v>
      </c>
      <c r="D228" s="10" t="s">
        <v>450</v>
      </c>
      <c r="E228" s="10" t="s">
        <v>451</v>
      </c>
      <c r="F228" s="10">
        <v>33.050910999999999</v>
      </c>
      <c r="G228" s="10">
        <v>44.233891</v>
      </c>
      <c r="H228" s="11">
        <v>210</v>
      </c>
      <c r="I228" s="11">
        <v>1260</v>
      </c>
      <c r="J228" s="11"/>
      <c r="K228" s="11"/>
      <c r="L228" s="11">
        <v>210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>
        <v>210</v>
      </c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>
        <v>28</v>
      </c>
      <c r="AP228" s="11">
        <v>182</v>
      </c>
      <c r="AQ228" s="11"/>
      <c r="AR228" s="11"/>
      <c r="AS228" s="11"/>
      <c r="AT228" s="11"/>
      <c r="AU228" s="20" t="str">
        <f>HYPERLINK("http://www.openstreetmap.org/?mlat=33.0509&amp;mlon=44.2339&amp;zoom=12#map=12/33.0509/44.2339","Maplink1")</f>
        <v>Maplink1</v>
      </c>
      <c r="AV228" s="20" t="str">
        <f>HYPERLINK("https://www.google.iq/maps/search/+33.0509,44.2339/@33.0509,44.2339,14z?hl=en","Maplink2")</f>
        <v>Maplink2</v>
      </c>
      <c r="AW228" s="20" t="str">
        <f>HYPERLINK("http://www.bing.com/maps/?lvl=14&amp;sty=h&amp;cp=33.0509~44.2339&amp;sp=point.33.0509_44.2339","Maplink3")</f>
        <v>Maplink3</v>
      </c>
    </row>
    <row r="229" spans="1:49" x14ac:dyDescent="0.25">
      <c r="A229" s="9">
        <v>29523</v>
      </c>
      <c r="B229" s="10" t="s">
        <v>10</v>
      </c>
      <c r="C229" s="10" t="s">
        <v>420</v>
      </c>
      <c r="D229" s="10" t="s">
        <v>452</v>
      </c>
      <c r="E229" s="10" t="s">
        <v>453</v>
      </c>
      <c r="F229" s="10">
        <v>33.064230000000002</v>
      </c>
      <c r="G229" s="10">
        <v>44.233170000000001</v>
      </c>
      <c r="H229" s="11">
        <v>1050</v>
      </c>
      <c r="I229" s="11">
        <v>6300</v>
      </c>
      <c r="J229" s="11"/>
      <c r="K229" s="11">
        <v>51</v>
      </c>
      <c r="L229" s="11">
        <v>900</v>
      </c>
      <c r="M229" s="11"/>
      <c r="N229" s="11"/>
      <c r="O229" s="11"/>
      <c r="P229" s="11">
        <v>99</v>
      </c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>
        <v>1050</v>
      </c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>
        <v>1050</v>
      </c>
      <c r="AQ229" s="11"/>
      <c r="AR229" s="11"/>
      <c r="AS229" s="11"/>
      <c r="AT229" s="11"/>
      <c r="AU229" s="20" t="str">
        <f>HYPERLINK("http://www.openstreetmap.org/?mlat=33.0642&amp;mlon=44.2332&amp;zoom=12#map=12/33.0642/44.2332","Maplink1")</f>
        <v>Maplink1</v>
      </c>
      <c r="AV229" s="20" t="str">
        <f>HYPERLINK("https://www.google.iq/maps/search/+33.0642,44.2332/@33.0642,44.2332,14z?hl=en","Maplink2")</f>
        <v>Maplink2</v>
      </c>
      <c r="AW229" s="20" t="str">
        <f>HYPERLINK("http://www.bing.com/maps/?lvl=14&amp;sty=h&amp;cp=33.0642~44.2332&amp;sp=point.33.0642_44.2332","Maplink3")</f>
        <v>Maplink3</v>
      </c>
    </row>
    <row r="230" spans="1:49" x14ac:dyDescent="0.25">
      <c r="A230" s="9">
        <v>29489</v>
      </c>
      <c r="B230" s="10" t="s">
        <v>10</v>
      </c>
      <c r="C230" s="10" t="s">
        <v>420</v>
      </c>
      <c r="D230" s="10" t="s">
        <v>454</v>
      </c>
      <c r="E230" s="10" t="s">
        <v>455</v>
      </c>
      <c r="F230" s="10">
        <v>32.947200000000002</v>
      </c>
      <c r="G230" s="10">
        <v>44.386899999999997</v>
      </c>
      <c r="H230" s="11">
        <v>36</v>
      </c>
      <c r="I230" s="11">
        <v>216</v>
      </c>
      <c r="J230" s="11"/>
      <c r="K230" s="11"/>
      <c r="L230" s="11">
        <v>36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>
        <v>36</v>
      </c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>
        <v>36</v>
      </c>
      <c r="AQ230" s="11"/>
      <c r="AR230" s="11"/>
      <c r="AS230" s="11"/>
      <c r="AT230" s="11"/>
      <c r="AU230" s="20" t="str">
        <f>HYPERLINK("http://www.openstreetmap.org/?mlat=32.9472&amp;mlon=44.3869&amp;zoom=12#map=12/32.9472/44.3869","Maplink1")</f>
        <v>Maplink1</v>
      </c>
      <c r="AV230" s="20" t="str">
        <f>HYPERLINK("https://www.google.iq/maps/search/+32.9472,44.3869/@32.9472,44.3869,14z?hl=en","Maplink2")</f>
        <v>Maplink2</v>
      </c>
      <c r="AW230" s="20" t="str">
        <f>HYPERLINK("http://www.bing.com/maps/?lvl=14&amp;sty=h&amp;cp=32.9472~44.3869&amp;sp=point.32.9472_44.3869","Maplink3")</f>
        <v>Maplink3</v>
      </c>
    </row>
    <row r="231" spans="1:49" x14ac:dyDescent="0.25">
      <c r="A231" s="9">
        <v>25153</v>
      </c>
      <c r="B231" s="10" t="s">
        <v>10</v>
      </c>
      <c r="C231" s="10" t="s">
        <v>420</v>
      </c>
      <c r="D231" s="10" t="s">
        <v>1828</v>
      </c>
      <c r="E231" s="10" t="s">
        <v>1829</v>
      </c>
      <c r="F231" s="10">
        <v>32.944312009999997</v>
      </c>
      <c r="G231" s="10">
        <v>44.35577996</v>
      </c>
      <c r="H231" s="11">
        <v>31</v>
      </c>
      <c r="I231" s="11">
        <v>186</v>
      </c>
      <c r="J231" s="11"/>
      <c r="K231" s="11"/>
      <c r="L231" s="11">
        <v>31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>
        <v>31</v>
      </c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>
        <v>31</v>
      </c>
      <c r="AQ231" s="11"/>
      <c r="AR231" s="11"/>
      <c r="AS231" s="11"/>
      <c r="AT231" s="11"/>
      <c r="AU231" s="20" t="str">
        <f>HYPERLINK("http://www.openstreetmap.org/?mlat=32.9443&amp;mlon=44.3558&amp;zoom=12#map=12/32.9443/44.3558","Maplink1")</f>
        <v>Maplink1</v>
      </c>
      <c r="AV231" s="20" t="str">
        <f>HYPERLINK("https://www.google.iq/maps/search/+32.9443,44.3558/@32.9443,44.3558,14z?hl=en","Maplink2")</f>
        <v>Maplink2</v>
      </c>
      <c r="AW231" s="20" t="str">
        <f>HYPERLINK("http://www.bing.com/maps/?lvl=14&amp;sty=h&amp;cp=32.9443~44.3558&amp;sp=point.32.9443_44.3558","Maplink3")</f>
        <v>Maplink3</v>
      </c>
    </row>
    <row r="232" spans="1:49" x14ac:dyDescent="0.25">
      <c r="A232" s="9">
        <v>31993</v>
      </c>
      <c r="B232" s="10" t="s">
        <v>10</v>
      </c>
      <c r="C232" s="10" t="s">
        <v>420</v>
      </c>
      <c r="D232" s="10" t="s">
        <v>456</v>
      </c>
      <c r="E232" s="10" t="s">
        <v>457</v>
      </c>
      <c r="F232" s="10">
        <v>33.171292999999999</v>
      </c>
      <c r="G232" s="10">
        <v>44.006439</v>
      </c>
      <c r="H232" s="11">
        <v>105</v>
      </c>
      <c r="I232" s="11">
        <v>630</v>
      </c>
      <c r="J232" s="11"/>
      <c r="K232" s="11"/>
      <c r="L232" s="11">
        <v>105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>
        <v>105</v>
      </c>
      <c r="AD232" s="11"/>
      <c r="AE232" s="11"/>
      <c r="AF232" s="11"/>
      <c r="AG232" s="11"/>
      <c r="AH232" s="11"/>
      <c r="AI232" s="11"/>
      <c r="AJ232" s="11"/>
      <c r="AK232" s="11"/>
      <c r="AL232" s="11"/>
      <c r="AM232" s="11">
        <v>27</v>
      </c>
      <c r="AN232" s="11">
        <v>78</v>
      </c>
      <c r="AO232" s="11"/>
      <c r="AP232" s="11"/>
      <c r="AQ232" s="11"/>
      <c r="AR232" s="11"/>
      <c r="AS232" s="11"/>
      <c r="AT232" s="11"/>
      <c r="AU232" s="20" t="str">
        <f>HYPERLINK("http://www.openstreetmap.org/?mlat=33.1713&amp;mlon=44.0064&amp;zoom=12#map=12/33.1713/44.0064","Maplink1")</f>
        <v>Maplink1</v>
      </c>
      <c r="AV232" s="20" t="str">
        <f>HYPERLINK("https://www.google.iq/maps/search/+33.1713,44.0064/@33.1713,44.0064,14z?hl=en","Maplink2")</f>
        <v>Maplink2</v>
      </c>
      <c r="AW232" s="20" t="str">
        <f>HYPERLINK("http://www.bing.com/maps/?lvl=14&amp;sty=h&amp;cp=33.1713~44.0064&amp;sp=point.33.1713_44.0064","Maplink3")</f>
        <v>Maplink3</v>
      </c>
    </row>
    <row r="233" spans="1:49" x14ac:dyDescent="0.25">
      <c r="A233" s="9">
        <v>29487</v>
      </c>
      <c r="B233" s="10" t="s">
        <v>10</v>
      </c>
      <c r="C233" s="10" t="s">
        <v>420</v>
      </c>
      <c r="D233" s="10" t="s">
        <v>458</v>
      </c>
      <c r="E233" s="10" t="s">
        <v>459</v>
      </c>
      <c r="F233" s="10">
        <v>33.020099999999999</v>
      </c>
      <c r="G233" s="10">
        <v>44.381100000000004</v>
      </c>
      <c r="H233" s="11">
        <v>86</v>
      </c>
      <c r="I233" s="11">
        <v>516</v>
      </c>
      <c r="J233" s="11"/>
      <c r="K233" s="11"/>
      <c r="L233" s="11">
        <v>86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>
        <v>86</v>
      </c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>
        <v>86</v>
      </c>
      <c r="AQ233" s="11"/>
      <c r="AR233" s="11"/>
      <c r="AS233" s="11"/>
      <c r="AT233" s="11"/>
      <c r="AU233" s="20" t="str">
        <f>HYPERLINK("http://www.openstreetmap.org/?mlat=33.0201&amp;mlon=44.3811&amp;zoom=12#map=12/33.0201/44.3811","Maplink1")</f>
        <v>Maplink1</v>
      </c>
      <c r="AV233" s="20" t="str">
        <f>HYPERLINK("https://www.google.iq/maps/search/+33.0201,44.3811/@33.0201,44.3811,14z?hl=en","Maplink2")</f>
        <v>Maplink2</v>
      </c>
      <c r="AW233" s="20" t="str">
        <f>HYPERLINK("http://www.bing.com/maps/?lvl=14&amp;sty=h&amp;cp=33.0201~44.3811&amp;sp=point.33.0201_44.3811","Maplink3")</f>
        <v>Maplink3</v>
      </c>
    </row>
    <row r="234" spans="1:49" x14ac:dyDescent="0.25">
      <c r="A234" s="9">
        <v>31992</v>
      </c>
      <c r="B234" s="10" t="s">
        <v>10</v>
      </c>
      <c r="C234" s="10" t="s">
        <v>420</v>
      </c>
      <c r="D234" s="10" t="s">
        <v>460</v>
      </c>
      <c r="E234" s="10" t="s">
        <v>461</v>
      </c>
      <c r="F234" s="10">
        <v>33.020429</v>
      </c>
      <c r="G234" s="10">
        <v>44.391922000000001</v>
      </c>
      <c r="H234" s="11">
        <v>11</v>
      </c>
      <c r="I234" s="11">
        <v>66</v>
      </c>
      <c r="J234" s="11"/>
      <c r="K234" s="11"/>
      <c r="L234" s="11">
        <v>11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>
        <v>11</v>
      </c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>
        <v>11</v>
      </c>
      <c r="AP234" s="11"/>
      <c r="AQ234" s="11"/>
      <c r="AR234" s="11"/>
      <c r="AS234" s="11"/>
      <c r="AT234" s="11"/>
      <c r="AU234" s="20" t="str">
        <f>HYPERLINK("http://www.openstreetmap.org/?mlat=33.0204&amp;mlon=44.3919&amp;zoom=12#map=12/33.0204/44.3919","Maplink1")</f>
        <v>Maplink1</v>
      </c>
      <c r="AV234" s="20" t="str">
        <f>HYPERLINK("https://www.google.iq/maps/search/+33.0204,44.3919/@33.0204,44.3919,14z?hl=en","Maplink2")</f>
        <v>Maplink2</v>
      </c>
      <c r="AW234" s="20" t="str">
        <f>HYPERLINK("http://www.bing.com/maps/?lvl=14&amp;sty=h&amp;cp=33.0204~44.3919&amp;sp=point.33.0204_44.3919","Maplink3")</f>
        <v>Maplink3</v>
      </c>
    </row>
    <row r="235" spans="1:49" x14ac:dyDescent="0.25">
      <c r="A235" s="9">
        <v>29488</v>
      </c>
      <c r="B235" s="10" t="s">
        <v>10</v>
      </c>
      <c r="C235" s="10" t="s">
        <v>420</v>
      </c>
      <c r="D235" s="10" t="s">
        <v>462</v>
      </c>
      <c r="E235" s="10" t="s">
        <v>463</v>
      </c>
      <c r="F235" s="10">
        <v>33.015099999999997</v>
      </c>
      <c r="G235" s="10">
        <v>44.380800000000001</v>
      </c>
      <c r="H235" s="11">
        <v>100</v>
      </c>
      <c r="I235" s="11">
        <v>600</v>
      </c>
      <c r="J235" s="11"/>
      <c r="K235" s="11"/>
      <c r="L235" s="11">
        <v>100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>
        <v>100</v>
      </c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>
        <v>100</v>
      </c>
      <c r="AQ235" s="11"/>
      <c r="AR235" s="11"/>
      <c r="AS235" s="11"/>
      <c r="AT235" s="11"/>
      <c r="AU235" s="20" t="str">
        <f>HYPERLINK("http://www.openstreetmap.org/?mlat=33.0151&amp;mlon=44.3808&amp;zoom=12#map=12/33.0151/44.3808","Maplink1")</f>
        <v>Maplink1</v>
      </c>
      <c r="AV235" s="20" t="str">
        <f>HYPERLINK("https://www.google.iq/maps/search/+33.0151,44.3808/@33.0151,44.3808,14z?hl=en","Maplink2")</f>
        <v>Maplink2</v>
      </c>
      <c r="AW235" s="20" t="str">
        <f>HYPERLINK("http://www.bing.com/maps/?lvl=14&amp;sty=h&amp;cp=33.0151~44.3808&amp;sp=point.33.0151_44.3808","Maplink3")</f>
        <v>Maplink3</v>
      </c>
    </row>
    <row r="236" spans="1:49" x14ac:dyDescent="0.25">
      <c r="A236" s="9">
        <v>7685</v>
      </c>
      <c r="B236" s="10" t="s">
        <v>10</v>
      </c>
      <c r="C236" s="10" t="s">
        <v>420</v>
      </c>
      <c r="D236" s="10" t="s">
        <v>464</v>
      </c>
      <c r="E236" s="10" t="s">
        <v>465</v>
      </c>
      <c r="F236" s="10">
        <v>32.9756</v>
      </c>
      <c r="G236" s="10">
        <v>44.416400000000003</v>
      </c>
      <c r="H236" s="11">
        <v>103</v>
      </c>
      <c r="I236" s="11">
        <v>618</v>
      </c>
      <c r="J236" s="11"/>
      <c r="K236" s="11"/>
      <c r="L236" s="11">
        <v>103</v>
      </c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>
        <v>103</v>
      </c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>
        <v>103</v>
      </c>
      <c r="AP236" s="11"/>
      <c r="AQ236" s="11"/>
      <c r="AR236" s="11"/>
      <c r="AS236" s="11"/>
      <c r="AT236" s="11"/>
      <c r="AU236" s="20" t="str">
        <f>HYPERLINK("http://www.openstreetmap.org/?mlat=32.9756&amp;mlon=44.4164&amp;zoom=12#map=12/32.9756/44.4164","Maplink1")</f>
        <v>Maplink1</v>
      </c>
      <c r="AV236" s="20" t="str">
        <f>HYPERLINK("https://www.google.iq/maps/search/+32.9756,44.4164/@32.9756,44.4164,14z?hl=en","Maplink2")</f>
        <v>Maplink2</v>
      </c>
      <c r="AW236" s="20" t="str">
        <f>HYPERLINK("http://www.bing.com/maps/?lvl=14&amp;sty=h&amp;cp=32.9756~44.4164&amp;sp=point.32.9756_44.4164","Maplink3")</f>
        <v>Maplink3</v>
      </c>
    </row>
    <row r="237" spans="1:49" x14ac:dyDescent="0.25">
      <c r="A237" s="9">
        <v>29526</v>
      </c>
      <c r="B237" s="10" t="s">
        <v>10</v>
      </c>
      <c r="C237" s="10" t="s">
        <v>420</v>
      </c>
      <c r="D237" s="10" t="s">
        <v>466</v>
      </c>
      <c r="E237" s="10" t="s">
        <v>467</v>
      </c>
      <c r="F237" s="10">
        <v>33.029121521199997</v>
      </c>
      <c r="G237" s="10">
        <v>44.212628872899998</v>
      </c>
      <c r="H237" s="11">
        <v>150</v>
      </c>
      <c r="I237" s="11">
        <v>900</v>
      </c>
      <c r="J237" s="11"/>
      <c r="K237" s="11">
        <v>44</v>
      </c>
      <c r="L237" s="11">
        <v>98</v>
      </c>
      <c r="M237" s="11"/>
      <c r="N237" s="11"/>
      <c r="O237" s="11"/>
      <c r="P237" s="11">
        <v>8</v>
      </c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>
        <v>150</v>
      </c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>
        <v>48</v>
      </c>
      <c r="AP237" s="11">
        <v>102</v>
      </c>
      <c r="AQ237" s="11"/>
      <c r="AR237" s="11"/>
      <c r="AS237" s="11"/>
      <c r="AT237" s="11"/>
      <c r="AU237" s="20" t="str">
        <f>HYPERLINK("http://www.openstreetmap.org/?mlat=33.0291&amp;mlon=44.2126&amp;zoom=12#map=12/33.0291/44.2126","Maplink1")</f>
        <v>Maplink1</v>
      </c>
      <c r="AV237" s="20" t="str">
        <f>HYPERLINK("https://www.google.iq/maps/search/+33.0291,44.2126/@33.0291,44.2126,14z?hl=en","Maplink2")</f>
        <v>Maplink2</v>
      </c>
      <c r="AW237" s="20" t="str">
        <f>HYPERLINK("http://www.bing.com/maps/?lvl=14&amp;sty=h&amp;cp=33.0291~44.2126&amp;sp=point.33.0291_44.2126","Maplink3")</f>
        <v>Maplink3</v>
      </c>
    </row>
    <row r="238" spans="1:49" x14ac:dyDescent="0.25">
      <c r="A238" s="9">
        <v>32063</v>
      </c>
      <c r="B238" s="10" t="s">
        <v>10</v>
      </c>
      <c r="C238" s="10" t="s">
        <v>420</v>
      </c>
      <c r="D238" s="10" t="s">
        <v>468</v>
      </c>
      <c r="E238" s="10" t="s">
        <v>469</v>
      </c>
      <c r="F238" s="10">
        <v>33.169395000000002</v>
      </c>
      <c r="G238" s="10">
        <v>44.010612000000002</v>
      </c>
      <c r="H238" s="11">
        <v>50</v>
      </c>
      <c r="I238" s="11">
        <v>300</v>
      </c>
      <c r="J238" s="11"/>
      <c r="K238" s="11"/>
      <c r="L238" s="11">
        <v>50</v>
      </c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>
        <v>50</v>
      </c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>
        <v>50</v>
      </c>
      <c r="AQ238" s="11"/>
      <c r="AR238" s="11"/>
      <c r="AS238" s="11"/>
      <c r="AT238" s="11"/>
      <c r="AU238" s="20" t="str">
        <f>HYPERLINK("http://www.openstreetmap.org/?mlat=33.1694&amp;mlon=44.0106&amp;zoom=12#map=12/33.1694/44.0106","Maplink1")</f>
        <v>Maplink1</v>
      </c>
      <c r="AV238" s="20" t="str">
        <f>HYPERLINK("https://www.google.iq/maps/search/+33.1694,44.0106/@33.1694,44.0106,14z?hl=en","Maplink2")</f>
        <v>Maplink2</v>
      </c>
      <c r="AW238" s="20" t="str">
        <f>HYPERLINK("http://www.bing.com/maps/?lvl=14&amp;sty=h&amp;cp=33.1694~44.0106&amp;sp=point.33.1694_44.0106","Maplink3")</f>
        <v>Maplink3</v>
      </c>
    </row>
    <row r="239" spans="1:49" x14ac:dyDescent="0.25">
      <c r="A239" s="9">
        <v>7611</v>
      </c>
      <c r="B239" s="10" t="s">
        <v>10</v>
      </c>
      <c r="C239" s="10" t="s">
        <v>420</v>
      </c>
      <c r="D239" s="10" t="s">
        <v>470</v>
      </c>
      <c r="E239" s="10" t="s">
        <v>471</v>
      </c>
      <c r="F239" s="10">
        <v>33.158599000000002</v>
      </c>
      <c r="G239" s="10">
        <v>44.029491999999998</v>
      </c>
      <c r="H239" s="11">
        <v>60</v>
      </c>
      <c r="I239" s="11">
        <v>360</v>
      </c>
      <c r="J239" s="11"/>
      <c r="K239" s="11"/>
      <c r="L239" s="11">
        <v>60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>
        <v>60</v>
      </c>
      <c r="AD239" s="11"/>
      <c r="AE239" s="11"/>
      <c r="AF239" s="11"/>
      <c r="AG239" s="11"/>
      <c r="AH239" s="11"/>
      <c r="AI239" s="11"/>
      <c r="AJ239" s="11"/>
      <c r="AK239" s="11"/>
      <c r="AL239" s="11"/>
      <c r="AM239" s="11">
        <v>60</v>
      </c>
      <c r="AN239" s="11"/>
      <c r="AO239" s="11"/>
      <c r="AP239" s="11"/>
      <c r="AQ239" s="11"/>
      <c r="AR239" s="11"/>
      <c r="AS239" s="11"/>
      <c r="AT239" s="11"/>
      <c r="AU239" s="20" t="str">
        <f>HYPERLINK("http://www.openstreetmap.org/?mlat=33.1586&amp;mlon=44.0295&amp;zoom=12#map=12/33.1586/44.0295","Maplink1")</f>
        <v>Maplink1</v>
      </c>
      <c r="AV239" s="20" t="str">
        <f>HYPERLINK("https://www.google.iq/maps/search/+33.1586,44.0295/@33.1586,44.0295,14z?hl=en","Maplink2")</f>
        <v>Maplink2</v>
      </c>
      <c r="AW239" s="20" t="str">
        <f>HYPERLINK("http://www.bing.com/maps/?lvl=14&amp;sty=h&amp;cp=33.1586~44.0295&amp;sp=point.33.1586_44.0295","Maplink3")</f>
        <v>Maplink3</v>
      </c>
    </row>
    <row r="240" spans="1:49" x14ac:dyDescent="0.25">
      <c r="A240" s="9">
        <v>32062</v>
      </c>
      <c r="B240" s="10" t="s">
        <v>10</v>
      </c>
      <c r="C240" s="10" t="s">
        <v>420</v>
      </c>
      <c r="D240" s="10" t="s">
        <v>472</v>
      </c>
      <c r="E240" s="10" t="s">
        <v>473</v>
      </c>
      <c r="F240" s="10">
        <v>33.149957999999998</v>
      </c>
      <c r="G240" s="10">
        <v>44.042656000000001</v>
      </c>
      <c r="H240" s="11">
        <v>30</v>
      </c>
      <c r="I240" s="11">
        <v>180</v>
      </c>
      <c r="J240" s="11"/>
      <c r="K240" s="11"/>
      <c r="L240" s="11">
        <v>30</v>
      </c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>
        <v>30</v>
      </c>
      <c r="AD240" s="11"/>
      <c r="AE240" s="11"/>
      <c r="AF240" s="11"/>
      <c r="AG240" s="11"/>
      <c r="AH240" s="11"/>
      <c r="AI240" s="11"/>
      <c r="AJ240" s="11"/>
      <c r="AK240" s="11"/>
      <c r="AL240" s="11"/>
      <c r="AM240" s="11">
        <v>30</v>
      </c>
      <c r="AN240" s="11"/>
      <c r="AO240" s="11"/>
      <c r="AP240" s="11"/>
      <c r="AQ240" s="11"/>
      <c r="AR240" s="11"/>
      <c r="AS240" s="11"/>
      <c r="AT240" s="11"/>
      <c r="AU240" s="20" t="str">
        <f>HYPERLINK("http://www.openstreetmap.org/?mlat=33.15&amp;mlon=44.0427&amp;zoom=12#map=12/33.15/44.0427","Maplink1")</f>
        <v>Maplink1</v>
      </c>
      <c r="AV240" s="20" t="str">
        <f>HYPERLINK("https://www.google.iq/maps/search/+33.15,44.0427/@33.15,44.0427,14z?hl=en","Maplink2")</f>
        <v>Maplink2</v>
      </c>
      <c r="AW240" s="20" t="str">
        <f>HYPERLINK("http://www.bing.com/maps/?lvl=14&amp;sty=h&amp;cp=33.15~44.0427&amp;sp=point.33.15_44.0427","Maplink3")</f>
        <v>Maplink3</v>
      </c>
    </row>
    <row r="241" spans="1:49" x14ac:dyDescent="0.25">
      <c r="A241" s="9">
        <v>23620</v>
      </c>
      <c r="B241" s="10" t="s">
        <v>12</v>
      </c>
      <c r="C241" s="10" t="s">
        <v>1697</v>
      </c>
      <c r="D241" s="10" t="s">
        <v>1830</v>
      </c>
      <c r="E241" s="10" t="s">
        <v>1698</v>
      </c>
      <c r="F241" s="10">
        <v>37.06745325</v>
      </c>
      <c r="G241" s="10">
        <v>42.37711693</v>
      </c>
      <c r="H241" s="11">
        <v>130</v>
      </c>
      <c r="I241" s="11">
        <v>780</v>
      </c>
      <c r="J241" s="11"/>
      <c r="K241" s="11"/>
      <c r="L241" s="11"/>
      <c r="M241" s="11"/>
      <c r="N241" s="11">
        <v>130</v>
      </c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>
        <v>130</v>
      </c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>
        <v>130</v>
      </c>
      <c r="AU241" s="20" t="str">
        <f>HYPERLINK("http://www.openstreetmap.org/?mlat=37.0675&amp;mlon=42.3771&amp;zoom=12#map=12/37.0675/42.3771","Maplink1")</f>
        <v>Maplink1</v>
      </c>
      <c r="AV241" s="20" t="str">
        <f>HYPERLINK("https://www.google.iq/maps/search/+37.0675,42.3771/@37.0675,42.3771,14z?hl=en","Maplink2")</f>
        <v>Maplink2</v>
      </c>
      <c r="AW241" s="20" t="str">
        <f>HYPERLINK("http://www.bing.com/maps/?lvl=14&amp;sty=h&amp;cp=37.0675~42.3771&amp;sp=point.37.0675_42.3771","Maplink3")</f>
        <v>Maplink3</v>
      </c>
    </row>
    <row r="242" spans="1:49" x14ac:dyDescent="0.25">
      <c r="A242" s="9">
        <v>25658</v>
      </c>
      <c r="B242" s="10" t="s">
        <v>13</v>
      </c>
      <c r="C242" s="10" t="s">
        <v>474</v>
      </c>
      <c r="D242" s="10" t="s">
        <v>475</v>
      </c>
      <c r="E242" s="10" t="s">
        <v>476</v>
      </c>
      <c r="F242" s="10">
        <v>34.065792850000001</v>
      </c>
      <c r="G242" s="10">
        <v>44.870625910000001</v>
      </c>
      <c r="H242" s="11">
        <v>180</v>
      </c>
      <c r="I242" s="11">
        <v>1080</v>
      </c>
      <c r="J242" s="11"/>
      <c r="K242" s="11"/>
      <c r="L242" s="11"/>
      <c r="M242" s="11"/>
      <c r="N242" s="11"/>
      <c r="O242" s="11">
        <v>125</v>
      </c>
      <c r="P242" s="11"/>
      <c r="Q242" s="11"/>
      <c r="R242" s="11">
        <v>25</v>
      </c>
      <c r="S242" s="11"/>
      <c r="T242" s="11"/>
      <c r="U242" s="11"/>
      <c r="V242" s="11"/>
      <c r="W242" s="11"/>
      <c r="X242" s="11"/>
      <c r="Y242" s="11">
        <v>30</v>
      </c>
      <c r="Z242" s="11"/>
      <c r="AA242" s="11"/>
      <c r="AB242" s="11"/>
      <c r="AC242" s="11">
        <v>180</v>
      </c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>
        <v>180</v>
      </c>
      <c r="AQ242" s="11"/>
      <c r="AR242" s="11"/>
      <c r="AS242" s="11"/>
      <c r="AT242" s="11"/>
      <c r="AU242" s="20" t="str">
        <f>HYPERLINK("http://www.openstreetmap.org/?mlat=34.0658&amp;mlon=44.8706&amp;zoom=12#map=12/34.0658/44.8706","Maplink1")</f>
        <v>Maplink1</v>
      </c>
      <c r="AV242" s="20" t="str">
        <f>HYPERLINK("https://www.google.iq/maps/search/+34.0658,44.8706/@34.0658,44.8706,14z?hl=en","Maplink2")</f>
        <v>Maplink2</v>
      </c>
      <c r="AW242" s="20" t="str">
        <f>HYPERLINK("http://www.bing.com/maps/?lvl=14&amp;sty=h&amp;cp=34.0658~44.8706&amp;sp=point.34.0658_44.8706","Maplink3")</f>
        <v>Maplink3</v>
      </c>
    </row>
    <row r="243" spans="1:49" x14ac:dyDescent="0.25">
      <c r="A243" s="9">
        <v>11487</v>
      </c>
      <c r="B243" s="10" t="s">
        <v>13</v>
      </c>
      <c r="C243" s="10" t="s">
        <v>474</v>
      </c>
      <c r="D243" s="10" t="s">
        <v>478</v>
      </c>
      <c r="E243" s="10" t="s">
        <v>168</v>
      </c>
      <c r="F243" s="10">
        <v>34.067207279000002</v>
      </c>
      <c r="G243" s="10">
        <v>44.8617257796</v>
      </c>
      <c r="H243" s="11">
        <v>310</v>
      </c>
      <c r="I243" s="11">
        <v>1860</v>
      </c>
      <c r="J243" s="11"/>
      <c r="K243" s="11"/>
      <c r="L243" s="11"/>
      <c r="M243" s="11"/>
      <c r="N243" s="11"/>
      <c r="O243" s="11">
        <v>253</v>
      </c>
      <c r="P243" s="11"/>
      <c r="Q243" s="11"/>
      <c r="R243" s="11">
        <v>57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>
        <v>310</v>
      </c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>
        <v>310</v>
      </c>
      <c r="AO243" s="11"/>
      <c r="AP243" s="11"/>
      <c r="AQ243" s="11"/>
      <c r="AR243" s="11"/>
      <c r="AS243" s="11"/>
      <c r="AT243" s="11"/>
      <c r="AU243" s="20" t="str">
        <f>HYPERLINK("http://www.openstreetmap.org/?mlat=34.0672&amp;mlon=44.8617&amp;zoom=12#map=12/34.0672/44.8617","Maplink1")</f>
        <v>Maplink1</v>
      </c>
      <c r="AV243" s="20" t="str">
        <f>HYPERLINK("https://www.google.iq/maps/search/+34.0672,44.8617/@34.0672,44.8617,14z?hl=en","Maplink2")</f>
        <v>Maplink2</v>
      </c>
      <c r="AW243" s="20" t="str">
        <f>HYPERLINK("http://www.bing.com/maps/?lvl=14&amp;sty=h&amp;cp=34.0672~44.8617&amp;sp=point.34.0672_44.8617","Maplink3")</f>
        <v>Maplink3</v>
      </c>
    </row>
    <row r="244" spans="1:49" x14ac:dyDescent="0.25">
      <c r="A244" s="9">
        <v>27182</v>
      </c>
      <c r="B244" s="10" t="s">
        <v>13</v>
      </c>
      <c r="C244" s="10" t="s">
        <v>474</v>
      </c>
      <c r="D244" s="10" t="s">
        <v>479</v>
      </c>
      <c r="E244" s="10" t="s">
        <v>480</v>
      </c>
      <c r="F244" s="10">
        <v>34.216153640000002</v>
      </c>
      <c r="G244" s="10">
        <v>44.512386360000001</v>
      </c>
      <c r="H244" s="11">
        <v>33</v>
      </c>
      <c r="I244" s="11">
        <v>198</v>
      </c>
      <c r="J244" s="11"/>
      <c r="K244" s="11"/>
      <c r="L244" s="11"/>
      <c r="M244" s="11"/>
      <c r="N244" s="11"/>
      <c r="O244" s="11"/>
      <c r="P244" s="11"/>
      <c r="Q244" s="11"/>
      <c r="R244" s="11">
        <v>33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>
        <v>33</v>
      </c>
      <c r="AE244" s="11"/>
      <c r="AF244" s="11"/>
      <c r="AG244" s="11"/>
      <c r="AH244" s="11"/>
      <c r="AI244" s="11"/>
      <c r="AJ244" s="11"/>
      <c r="AK244" s="11"/>
      <c r="AL244" s="11"/>
      <c r="AM244" s="11"/>
      <c r="AN244" s="11">
        <v>33</v>
      </c>
      <c r="AO244" s="11"/>
      <c r="AP244" s="11"/>
      <c r="AQ244" s="11"/>
      <c r="AR244" s="11"/>
      <c r="AS244" s="11"/>
      <c r="AT244" s="11"/>
      <c r="AU244" s="20" t="str">
        <f>HYPERLINK("http://www.openstreetmap.org/?mlat=34.2162&amp;mlon=44.5124&amp;zoom=12#map=12/34.2162/44.5124","Maplink1")</f>
        <v>Maplink1</v>
      </c>
      <c r="AV244" s="20" t="str">
        <f>HYPERLINK("https://www.google.iq/maps/search/+34.2162,44.5124/@34.2162,44.5124,14z?hl=en","Maplink2")</f>
        <v>Maplink2</v>
      </c>
      <c r="AW244" s="20" t="str">
        <f>HYPERLINK("http://www.bing.com/maps/?lvl=14&amp;sty=h&amp;cp=34.2162~44.5124&amp;sp=point.34.2162_44.5124","Maplink3")</f>
        <v>Maplink3</v>
      </c>
    </row>
    <row r="245" spans="1:49" x14ac:dyDescent="0.25">
      <c r="A245" s="9">
        <v>25659</v>
      </c>
      <c r="B245" s="10" t="s">
        <v>13</v>
      </c>
      <c r="C245" s="10" t="s">
        <v>474</v>
      </c>
      <c r="D245" s="10" t="s">
        <v>481</v>
      </c>
      <c r="E245" s="10" t="s">
        <v>482</v>
      </c>
      <c r="F245" s="10">
        <v>34.091725642599997</v>
      </c>
      <c r="G245" s="10">
        <v>44.936574357300003</v>
      </c>
      <c r="H245" s="11">
        <v>47</v>
      </c>
      <c r="I245" s="11">
        <v>282</v>
      </c>
      <c r="J245" s="11"/>
      <c r="K245" s="11"/>
      <c r="L245" s="11"/>
      <c r="M245" s="11"/>
      <c r="N245" s="11"/>
      <c r="O245" s="11">
        <v>32</v>
      </c>
      <c r="P245" s="11"/>
      <c r="Q245" s="11"/>
      <c r="R245" s="11"/>
      <c r="S245" s="11"/>
      <c r="T245" s="11"/>
      <c r="U245" s="11"/>
      <c r="V245" s="11"/>
      <c r="W245" s="11"/>
      <c r="X245" s="11"/>
      <c r="Y245" s="11">
        <v>15</v>
      </c>
      <c r="Z245" s="11"/>
      <c r="AA245" s="11"/>
      <c r="AB245" s="11"/>
      <c r="AC245" s="11">
        <v>47</v>
      </c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>
        <v>47</v>
      </c>
      <c r="AQ245" s="11"/>
      <c r="AR245" s="11"/>
      <c r="AS245" s="11"/>
      <c r="AT245" s="11"/>
      <c r="AU245" s="20" t="str">
        <f>HYPERLINK("http://www.openstreetmap.org/?mlat=34.0917&amp;mlon=44.9366&amp;zoom=12#map=12/34.0917/44.9366","Maplink1")</f>
        <v>Maplink1</v>
      </c>
      <c r="AV245" s="20" t="str">
        <f>HYPERLINK("https://www.google.iq/maps/search/+34.0917,44.9366/@34.0917,44.9366,14z?hl=en","Maplink2")</f>
        <v>Maplink2</v>
      </c>
      <c r="AW245" s="20" t="str">
        <f>HYPERLINK("http://www.bing.com/maps/?lvl=14&amp;sty=h&amp;cp=34.0917~44.9366&amp;sp=point.34.0917_44.9366","Maplink3")</f>
        <v>Maplink3</v>
      </c>
    </row>
    <row r="246" spans="1:49" x14ac:dyDescent="0.25">
      <c r="A246" s="9">
        <v>27176</v>
      </c>
      <c r="B246" s="10" t="s">
        <v>13</v>
      </c>
      <c r="C246" s="10" t="s">
        <v>474</v>
      </c>
      <c r="D246" s="10" t="s">
        <v>483</v>
      </c>
      <c r="E246" s="10" t="s">
        <v>484</v>
      </c>
      <c r="F246" s="10">
        <v>34.043675497400002</v>
      </c>
      <c r="G246" s="10">
        <v>44.307617737999998</v>
      </c>
      <c r="H246" s="11">
        <v>70</v>
      </c>
      <c r="I246" s="11">
        <v>420</v>
      </c>
      <c r="J246" s="11"/>
      <c r="K246" s="11"/>
      <c r="L246" s="11"/>
      <c r="M246" s="11"/>
      <c r="N246" s="11"/>
      <c r="O246" s="11"/>
      <c r="P246" s="11"/>
      <c r="Q246" s="11"/>
      <c r="R246" s="11">
        <v>70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>
        <v>70</v>
      </c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>
        <v>70</v>
      </c>
      <c r="AO246" s="11"/>
      <c r="AP246" s="11"/>
      <c r="AQ246" s="11"/>
      <c r="AR246" s="11"/>
      <c r="AS246" s="11"/>
      <c r="AT246" s="11"/>
      <c r="AU246" s="20" t="str">
        <f>HYPERLINK("http://www.openstreetmap.org/?mlat=34.0437&amp;mlon=44.3076&amp;zoom=12#map=12/34.0437/44.3076","Maplink1")</f>
        <v>Maplink1</v>
      </c>
      <c r="AV246" s="20" t="str">
        <f>HYPERLINK("https://www.google.iq/maps/search/+34.0437,44.3076/@34.0437,44.3076,14z?hl=en","Maplink2")</f>
        <v>Maplink2</v>
      </c>
      <c r="AW246" s="20" t="str">
        <f>HYPERLINK("http://www.bing.com/maps/?lvl=14&amp;sty=h&amp;cp=34.0437~44.3076&amp;sp=point.34.0437_44.3076","Maplink3")</f>
        <v>Maplink3</v>
      </c>
    </row>
    <row r="247" spans="1:49" x14ac:dyDescent="0.25">
      <c r="A247" s="9">
        <v>26075</v>
      </c>
      <c r="B247" s="10" t="s">
        <v>13</v>
      </c>
      <c r="C247" s="10" t="s">
        <v>474</v>
      </c>
      <c r="D247" s="10" t="s">
        <v>485</v>
      </c>
      <c r="E247" s="10" t="s">
        <v>486</v>
      </c>
      <c r="F247" s="10">
        <v>34.073537000000002</v>
      </c>
      <c r="G247" s="10">
        <v>44.905830000000002</v>
      </c>
      <c r="H247" s="11">
        <v>200</v>
      </c>
      <c r="I247" s="11">
        <v>1200</v>
      </c>
      <c r="J247" s="11"/>
      <c r="K247" s="11"/>
      <c r="L247" s="11"/>
      <c r="M247" s="11"/>
      <c r="N247" s="11"/>
      <c r="O247" s="11">
        <v>200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>
        <v>200</v>
      </c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200</v>
      </c>
      <c r="AO247" s="11"/>
      <c r="AP247" s="11"/>
      <c r="AQ247" s="11"/>
      <c r="AR247" s="11"/>
      <c r="AS247" s="11"/>
      <c r="AT247" s="11"/>
      <c r="AU247" s="20" t="str">
        <f>HYPERLINK("http://www.openstreetmap.org/?mlat=34.0735&amp;mlon=44.9058&amp;zoom=12#map=12/34.0735/44.9058","Maplink1")</f>
        <v>Maplink1</v>
      </c>
      <c r="AV247" s="20" t="str">
        <f>HYPERLINK("https://www.google.iq/maps/search/+34.0735,44.9058/@34.0735,44.9058,14z?hl=en","Maplink2")</f>
        <v>Maplink2</v>
      </c>
      <c r="AW247" s="20" t="str">
        <f>HYPERLINK("http://www.bing.com/maps/?lvl=14&amp;sty=h&amp;cp=34.0735~44.9058&amp;sp=point.34.0735_44.9058","Maplink3")</f>
        <v>Maplink3</v>
      </c>
    </row>
    <row r="248" spans="1:49" x14ac:dyDescent="0.25">
      <c r="A248" s="9">
        <v>28469</v>
      </c>
      <c r="B248" s="10" t="s">
        <v>13</v>
      </c>
      <c r="C248" s="10" t="s">
        <v>474</v>
      </c>
      <c r="D248" s="10" t="s">
        <v>487</v>
      </c>
      <c r="E248" s="10" t="s">
        <v>488</v>
      </c>
      <c r="F248" s="10">
        <v>34.278477549999998</v>
      </c>
      <c r="G248" s="10">
        <v>44.562996480000002</v>
      </c>
      <c r="H248" s="11">
        <v>134</v>
      </c>
      <c r="I248" s="11">
        <v>804</v>
      </c>
      <c r="J248" s="11"/>
      <c r="K248" s="11"/>
      <c r="L248" s="11"/>
      <c r="M248" s="11"/>
      <c r="N248" s="11"/>
      <c r="O248" s="11">
        <v>92</v>
      </c>
      <c r="P248" s="11"/>
      <c r="Q248" s="11"/>
      <c r="R248" s="11">
        <v>42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>
        <v>106</v>
      </c>
      <c r="AD248" s="11"/>
      <c r="AE248" s="11"/>
      <c r="AF248" s="11"/>
      <c r="AG248" s="11"/>
      <c r="AH248" s="11"/>
      <c r="AI248" s="11"/>
      <c r="AJ248" s="11"/>
      <c r="AK248" s="11">
        <v>28</v>
      </c>
      <c r="AL248" s="11"/>
      <c r="AM248" s="11"/>
      <c r="AN248" s="11">
        <v>134</v>
      </c>
      <c r="AO248" s="11"/>
      <c r="AP248" s="11"/>
      <c r="AQ248" s="11"/>
      <c r="AR248" s="11"/>
      <c r="AS248" s="11"/>
      <c r="AT248" s="11"/>
      <c r="AU248" s="20" t="str">
        <f>HYPERLINK("http://www.openstreetmap.org/?mlat=34.2785&amp;mlon=44.563&amp;zoom=12#map=12/34.2785/44.563","Maplink1")</f>
        <v>Maplink1</v>
      </c>
      <c r="AV248" s="20" t="str">
        <f>HYPERLINK("https://www.google.iq/maps/search/+34.2785,44.563/@34.2785,44.563,14z?hl=en","Maplink2")</f>
        <v>Maplink2</v>
      </c>
      <c r="AW248" s="20" t="str">
        <f>HYPERLINK("http://www.bing.com/maps/?lvl=14&amp;sty=h&amp;cp=34.2785~44.563&amp;sp=point.34.2785_44.563","Maplink3")</f>
        <v>Maplink3</v>
      </c>
    </row>
    <row r="249" spans="1:49" x14ac:dyDescent="0.25">
      <c r="A249" s="9">
        <v>21162</v>
      </c>
      <c r="B249" s="10" t="s">
        <v>13</v>
      </c>
      <c r="C249" s="10" t="s">
        <v>474</v>
      </c>
      <c r="D249" s="10" t="s">
        <v>489</v>
      </c>
      <c r="E249" s="10" t="s">
        <v>490</v>
      </c>
      <c r="F249" s="10">
        <v>34.216579070000002</v>
      </c>
      <c r="G249" s="10">
        <v>44.468902389999997</v>
      </c>
      <c r="H249" s="11">
        <v>34</v>
      </c>
      <c r="I249" s="11">
        <v>204</v>
      </c>
      <c r="J249" s="11"/>
      <c r="K249" s="11"/>
      <c r="L249" s="11"/>
      <c r="M249" s="11"/>
      <c r="N249" s="11"/>
      <c r="O249" s="11"/>
      <c r="P249" s="11"/>
      <c r="Q249" s="11"/>
      <c r="R249" s="11">
        <v>34</v>
      </c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>
        <v>34</v>
      </c>
      <c r="AE249" s="11"/>
      <c r="AF249" s="11"/>
      <c r="AG249" s="11"/>
      <c r="AH249" s="11"/>
      <c r="AI249" s="11"/>
      <c r="AJ249" s="11"/>
      <c r="AK249" s="11"/>
      <c r="AL249" s="11"/>
      <c r="AM249" s="11"/>
      <c r="AN249" s="11">
        <v>34</v>
      </c>
      <c r="AO249" s="11"/>
      <c r="AP249" s="11"/>
      <c r="AQ249" s="11"/>
      <c r="AR249" s="11"/>
      <c r="AS249" s="11"/>
      <c r="AT249" s="11"/>
      <c r="AU249" s="20" t="str">
        <f>HYPERLINK("http://www.openstreetmap.org/?mlat=34.2166&amp;mlon=44.4689&amp;zoom=12#map=12/34.2166/44.4689","Maplink1")</f>
        <v>Maplink1</v>
      </c>
      <c r="AV249" s="20" t="str">
        <f>HYPERLINK("https://www.google.iq/maps/search/+34.2166,44.4689/@34.2166,44.4689,14z?hl=en","Maplink2")</f>
        <v>Maplink2</v>
      </c>
      <c r="AW249" s="20" t="str">
        <f>HYPERLINK("http://www.bing.com/maps/?lvl=14&amp;sty=h&amp;cp=34.2166~44.4689&amp;sp=point.34.2166_44.4689","Maplink3")</f>
        <v>Maplink3</v>
      </c>
    </row>
    <row r="250" spans="1:49" x14ac:dyDescent="0.25">
      <c r="A250" s="9">
        <v>28445</v>
      </c>
      <c r="B250" s="10" t="s">
        <v>13</v>
      </c>
      <c r="C250" s="10" t="s">
        <v>474</v>
      </c>
      <c r="D250" s="10" t="s">
        <v>491</v>
      </c>
      <c r="E250" s="10" t="s">
        <v>492</v>
      </c>
      <c r="F250" s="10">
        <v>34.274324479999997</v>
      </c>
      <c r="G250" s="10">
        <v>44.538236470000001</v>
      </c>
      <c r="H250" s="11">
        <v>995</v>
      </c>
      <c r="I250" s="11">
        <v>5970</v>
      </c>
      <c r="J250" s="11"/>
      <c r="K250" s="11"/>
      <c r="L250" s="11"/>
      <c r="M250" s="11"/>
      <c r="N250" s="11"/>
      <c r="O250" s="11">
        <v>639</v>
      </c>
      <c r="P250" s="11"/>
      <c r="Q250" s="11"/>
      <c r="R250" s="11">
        <v>326</v>
      </c>
      <c r="S250" s="11"/>
      <c r="T250" s="11"/>
      <c r="U250" s="11"/>
      <c r="V250" s="11"/>
      <c r="W250" s="11"/>
      <c r="X250" s="11"/>
      <c r="Y250" s="11">
        <v>30</v>
      </c>
      <c r="Z250" s="11"/>
      <c r="AA250" s="11"/>
      <c r="AB250" s="11"/>
      <c r="AC250" s="11">
        <v>995</v>
      </c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>
        <v>995</v>
      </c>
      <c r="AO250" s="11"/>
      <c r="AP250" s="11"/>
      <c r="AQ250" s="11"/>
      <c r="AR250" s="11"/>
      <c r="AS250" s="11"/>
      <c r="AT250" s="11"/>
      <c r="AU250" s="20" t="str">
        <f>HYPERLINK("http://www.openstreetmap.org/?mlat=34.2743&amp;mlon=44.5382&amp;zoom=12#map=12/34.2743/44.5382","Maplink1")</f>
        <v>Maplink1</v>
      </c>
      <c r="AV250" s="20" t="str">
        <f>HYPERLINK("https://www.google.iq/maps/search/+34.2743,44.5382/@34.2743,44.5382,14z?hl=en","Maplink2")</f>
        <v>Maplink2</v>
      </c>
      <c r="AW250" s="20" t="str">
        <f>HYPERLINK("http://www.bing.com/maps/?lvl=14&amp;sty=h&amp;cp=34.2743~44.5382&amp;sp=point.34.2743_44.5382","Maplink3")</f>
        <v>Maplink3</v>
      </c>
    </row>
    <row r="251" spans="1:49" x14ac:dyDescent="0.25">
      <c r="A251" s="9">
        <v>27177</v>
      </c>
      <c r="B251" s="10" t="s">
        <v>13</v>
      </c>
      <c r="C251" s="10" t="s">
        <v>474</v>
      </c>
      <c r="D251" s="10" t="s">
        <v>493</v>
      </c>
      <c r="E251" s="10" t="s">
        <v>494</v>
      </c>
      <c r="F251" s="10">
        <v>34.047741014800003</v>
      </c>
      <c r="G251" s="10">
        <v>44.391542998799999</v>
      </c>
      <c r="H251" s="11">
        <v>42</v>
      </c>
      <c r="I251" s="11">
        <v>252</v>
      </c>
      <c r="J251" s="11"/>
      <c r="K251" s="11"/>
      <c r="L251" s="11"/>
      <c r="M251" s="11"/>
      <c r="N251" s="11"/>
      <c r="O251" s="11"/>
      <c r="P251" s="11"/>
      <c r="Q251" s="11"/>
      <c r="R251" s="11">
        <v>42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>
        <v>42</v>
      </c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>
        <v>42</v>
      </c>
      <c r="AO251" s="11"/>
      <c r="AP251" s="11"/>
      <c r="AQ251" s="11"/>
      <c r="AR251" s="11"/>
      <c r="AS251" s="11"/>
      <c r="AT251" s="11"/>
      <c r="AU251" s="20" t="str">
        <f>HYPERLINK("http://www.openstreetmap.org/?mlat=34.0477&amp;mlon=44.3915&amp;zoom=12#map=12/34.0477/44.3915","Maplink1")</f>
        <v>Maplink1</v>
      </c>
      <c r="AV251" s="20" t="str">
        <f>HYPERLINK("https://www.google.iq/maps/search/+34.0477,44.3915/@34.0477,44.3915,14z?hl=en","Maplink2")</f>
        <v>Maplink2</v>
      </c>
      <c r="AW251" s="20" t="str">
        <f>HYPERLINK("http://www.bing.com/maps/?lvl=14&amp;sty=h&amp;cp=34.0477~44.3915&amp;sp=point.34.0477_44.3915","Maplink3")</f>
        <v>Maplink3</v>
      </c>
    </row>
    <row r="252" spans="1:49" x14ac:dyDescent="0.25">
      <c r="A252" s="9">
        <v>21161</v>
      </c>
      <c r="B252" s="10" t="s">
        <v>13</v>
      </c>
      <c r="C252" s="10" t="s">
        <v>474</v>
      </c>
      <c r="D252" s="10" t="s">
        <v>495</v>
      </c>
      <c r="E252" s="10" t="s">
        <v>496</v>
      </c>
      <c r="F252" s="10">
        <v>34.219675264300001</v>
      </c>
      <c r="G252" s="10">
        <v>44.482852192099998</v>
      </c>
      <c r="H252" s="11">
        <v>125</v>
      </c>
      <c r="I252" s="11">
        <v>750</v>
      </c>
      <c r="J252" s="11"/>
      <c r="K252" s="11"/>
      <c r="L252" s="11"/>
      <c r="M252" s="11"/>
      <c r="N252" s="11"/>
      <c r="O252" s="11"/>
      <c r="P252" s="11"/>
      <c r="Q252" s="11"/>
      <c r="R252" s="11">
        <v>125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>
        <v>125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>
        <v>125</v>
      </c>
      <c r="AO252" s="11"/>
      <c r="AP252" s="11"/>
      <c r="AQ252" s="11"/>
      <c r="AR252" s="11"/>
      <c r="AS252" s="11"/>
      <c r="AT252" s="11"/>
      <c r="AU252" s="20" t="str">
        <f>HYPERLINK("http://www.openstreetmap.org/?mlat=34.2197&amp;mlon=44.4829&amp;zoom=12#map=12/34.2197/44.4829","Maplink1")</f>
        <v>Maplink1</v>
      </c>
      <c r="AV252" s="20" t="str">
        <f>HYPERLINK("https://www.google.iq/maps/search/+34.2197,44.4829/@34.2197,44.4829,14z?hl=en","Maplink2")</f>
        <v>Maplink2</v>
      </c>
      <c r="AW252" s="20" t="str">
        <f>HYPERLINK("http://www.bing.com/maps/?lvl=14&amp;sty=h&amp;cp=34.2197~44.4829&amp;sp=point.34.2197_44.4829","Maplink3")</f>
        <v>Maplink3</v>
      </c>
    </row>
    <row r="253" spans="1:49" x14ac:dyDescent="0.25">
      <c r="A253" s="9">
        <v>21223</v>
      </c>
      <c r="B253" s="10" t="s">
        <v>13</v>
      </c>
      <c r="C253" s="10" t="s">
        <v>474</v>
      </c>
      <c r="D253" s="10" t="s">
        <v>497</v>
      </c>
      <c r="E253" s="10" t="s">
        <v>498</v>
      </c>
      <c r="F253" s="10">
        <v>34.332530419999998</v>
      </c>
      <c r="G253" s="10">
        <v>44.558998269999996</v>
      </c>
      <c r="H253" s="11">
        <v>187</v>
      </c>
      <c r="I253" s="11">
        <v>1122</v>
      </c>
      <c r="J253" s="11"/>
      <c r="K253" s="11"/>
      <c r="L253" s="11"/>
      <c r="M253" s="11"/>
      <c r="N253" s="11"/>
      <c r="O253" s="11">
        <v>163</v>
      </c>
      <c r="P253" s="11"/>
      <c r="Q253" s="11"/>
      <c r="R253" s="11">
        <v>24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>
        <v>187</v>
      </c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>
        <v>187</v>
      </c>
      <c r="AO253" s="11"/>
      <c r="AP253" s="11"/>
      <c r="AQ253" s="11"/>
      <c r="AR253" s="11"/>
      <c r="AS253" s="11"/>
      <c r="AT253" s="11"/>
      <c r="AU253" s="20" t="str">
        <f>HYPERLINK("http://www.openstreetmap.org/?mlat=34.3325&amp;mlon=44.559&amp;zoom=12#map=12/34.3325/44.559","Maplink1")</f>
        <v>Maplink1</v>
      </c>
      <c r="AV253" s="20" t="str">
        <f>HYPERLINK("https://www.google.iq/maps/search/+34.3325,44.559/@34.3325,44.559,14z?hl=en","Maplink2")</f>
        <v>Maplink2</v>
      </c>
      <c r="AW253" s="20" t="str">
        <f>HYPERLINK("http://www.bing.com/maps/?lvl=14&amp;sty=h&amp;cp=34.3325~44.559&amp;sp=point.34.3325_44.559","Maplink3")</f>
        <v>Maplink3</v>
      </c>
    </row>
    <row r="254" spans="1:49" x14ac:dyDescent="0.25">
      <c r="A254" s="9">
        <v>25676</v>
      </c>
      <c r="B254" s="10" t="s">
        <v>13</v>
      </c>
      <c r="C254" s="10" t="s">
        <v>474</v>
      </c>
      <c r="D254" s="10" t="s">
        <v>500</v>
      </c>
      <c r="E254" s="10" t="s">
        <v>501</v>
      </c>
      <c r="F254" s="10">
        <v>34.031366407100002</v>
      </c>
      <c r="G254" s="10">
        <v>44.872524327900003</v>
      </c>
      <c r="H254" s="11">
        <v>150</v>
      </c>
      <c r="I254" s="11">
        <v>900</v>
      </c>
      <c r="J254" s="11"/>
      <c r="K254" s="11"/>
      <c r="L254" s="11"/>
      <c r="M254" s="11"/>
      <c r="N254" s="11"/>
      <c r="O254" s="11">
        <v>78</v>
      </c>
      <c r="P254" s="11"/>
      <c r="Q254" s="11"/>
      <c r="R254" s="11">
        <v>50</v>
      </c>
      <c r="S254" s="11"/>
      <c r="T254" s="11"/>
      <c r="U254" s="11"/>
      <c r="V254" s="11"/>
      <c r="W254" s="11"/>
      <c r="X254" s="11"/>
      <c r="Y254" s="11">
        <v>22</v>
      </c>
      <c r="Z254" s="11"/>
      <c r="AA254" s="11"/>
      <c r="AB254" s="11"/>
      <c r="AC254" s="11">
        <v>150</v>
      </c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>
        <v>150</v>
      </c>
      <c r="AQ254" s="11"/>
      <c r="AR254" s="11"/>
      <c r="AS254" s="11"/>
      <c r="AT254" s="11"/>
      <c r="AU254" s="20" t="str">
        <f>HYPERLINK("http://www.openstreetmap.org/?mlat=34.0314&amp;mlon=44.8725&amp;zoom=12#map=12/34.0314/44.8725","Maplink1")</f>
        <v>Maplink1</v>
      </c>
      <c r="AV254" s="20" t="str">
        <f>HYPERLINK("https://www.google.iq/maps/search/+34.0314,44.8725/@34.0314,44.8725,14z?hl=en","Maplink2")</f>
        <v>Maplink2</v>
      </c>
      <c r="AW254" s="20" t="str">
        <f>HYPERLINK("http://www.bing.com/maps/?lvl=14&amp;sty=h&amp;cp=34.0314~44.8725&amp;sp=point.34.0314_44.8725","Maplink3")</f>
        <v>Maplink3</v>
      </c>
    </row>
    <row r="255" spans="1:49" x14ac:dyDescent="0.25">
      <c r="A255" s="9">
        <v>25806</v>
      </c>
      <c r="B255" s="10" t="s">
        <v>13</v>
      </c>
      <c r="C255" s="10" t="s">
        <v>474</v>
      </c>
      <c r="D255" s="10" t="s">
        <v>502</v>
      </c>
      <c r="E255" s="10" t="s">
        <v>503</v>
      </c>
      <c r="F255" s="10">
        <v>34.054554723800003</v>
      </c>
      <c r="G255" s="10">
        <v>44.895280665000001</v>
      </c>
      <c r="H255" s="11">
        <v>28</v>
      </c>
      <c r="I255" s="11">
        <v>168</v>
      </c>
      <c r="J255" s="11"/>
      <c r="K255" s="11"/>
      <c r="L255" s="11"/>
      <c r="M255" s="11"/>
      <c r="N255" s="11"/>
      <c r="O255" s="11">
        <v>28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>
        <v>28</v>
      </c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>
        <v>28</v>
      </c>
      <c r="AO255" s="11"/>
      <c r="AP255" s="11"/>
      <c r="AQ255" s="11"/>
      <c r="AR255" s="11"/>
      <c r="AS255" s="11"/>
      <c r="AT255" s="11"/>
      <c r="AU255" s="20" t="str">
        <f>HYPERLINK("http://www.openstreetmap.org/?mlat=34.0546&amp;mlon=44.8953&amp;zoom=12#map=12/34.0546/44.8953","Maplink1")</f>
        <v>Maplink1</v>
      </c>
      <c r="AV255" s="20" t="str">
        <f>HYPERLINK("https://www.google.iq/maps/search/+34.0546,44.8953/@34.0546,44.8953,14z?hl=en","Maplink2")</f>
        <v>Maplink2</v>
      </c>
      <c r="AW255" s="20" t="str">
        <f>HYPERLINK("http://www.bing.com/maps/?lvl=14&amp;sty=h&amp;cp=34.0546~44.8953&amp;sp=point.34.0546_44.8953","Maplink3")</f>
        <v>Maplink3</v>
      </c>
    </row>
    <row r="256" spans="1:49" x14ac:dyDescent="0.25">
      <c r="A256" s="9">
        <v>25665</v>
      </c>
      <c r="B256" s="10" t="s">
        <v>13</v>
      </c>
      <c r="C256" s="10" t="s">
        <v>474</v>
      </c>
      <c r="D256" s="10" t="s">
        <v>504</v>
      </c>
      <c r="E256" s="10" t="s">
        <v>505</v>
      </c>
      <c r="F256" s="10">
        <v>34.050199371300003</v>
      </c>
      <c r="G256" s="10">
        <v>44.783157392900002</v>
      </c>
      <c r="H256" s="11">
        <v>75</v>
      </c>
      <c r="I256" s="11">
        <v>450</v>
      </c>
      <c r="J256" s="11"/>
      <c r="K256" s="11"/>
      <c r="L256" s="11"/>
      <c r="M256" s="11"/>
      <c r="N256" s="11"/>
      <c r="O256" s="11">
        <v>75</v>
      </c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>
        <v>75</v>
      </c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>
        <v>75</v>
      </c>
      <c r="AO256" s="11"/>
      <c r="AP256" s="11"/>
      <c r="AQ256" s="11"/>
      <c r="AR256" s="11"/>
      <c r="AS256" s="11"/>
      <c r="AT256" s="11"/>
      <c r="AU256" s="20" t="str">
        <f>HYPERLINK("http://www.openstreetmap.org/?mlat=34.0502&amp;mlon=44.7832&amp;zoom=12#map=12/34.0502/44.7832","Maplink1")</f>
        <v>Maplink1</v>
      </c>
      <c r="AV256" s="20" t="str">
        <f>HYPERLINK("https://www.google.iq/maps/search/+34.0502,44.7832/@34.0502,44.7832,14z?hl=en","Maplink2")</f>
        <v>Maplink2</v>
      </c>
      <c r="AW256" s="20" t="str">
        <f>HYPERLINK("http://www.bing.com/maps/?lvl=14&amp;sty=h&amp;cp=34.0502~44.7832&amp;sp=point.34.0502_44.7832","Maplink3")</f>
        <v>Maplink3</v>
      </c>
    </row>
    <row r="257" spans="1:49" x14ac:dyDescent="0.25">
      <c r="A257" s="9">
        <v>27165</v>
      </c>
      <c r="B257" s="10" t="s">
        <v>13</v>
      </c>
      <c r="C257" s="10" t="s">
        <v>474</v>
      </c>
      <c r="D257" s="10" t="s">
        <v>507</v>
      </c>
      <c r="E257" s="10" t="s">
        <v>508</v>
      </c>
      <c r="F257" s="10">
        <v>34.210737369999997</v>
      </c>
      <c r="G257" s="10">
        <v>44.52663381</v>
      </c>
      <c r="H257" s="11">
        <v>17</v>
      </c>
      <c r="I257" s="11">
        <v>102</v>
      </c>
      <c r="J257" s="11"/>
      <c r="K257" s="11"/>
      <c r="L257" s="11"/>
      <c r="M257" s="11"/>
      <c r="N257" s="11"/>
      <c r="O257" s="11"/>
      <c r="P257" s="11"/>
      <c r="Q257" s="11"/>
      <c r="R257" s="11">
        <v>17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>
        <v>17</v>
      </c>
      <c r="AE257" s="11"/>
      <c r="AF257" s="11"/>
      <c r="AG257" s="11"/>
      <c r="AH257" s="11"/>
      <c r="AI257" s="11"/>
      <c r="AJ257" s="11"/>
      <c r="AK257" s="11"/>
      <c r="AL257" s="11"/>
      <c r="AM257" s="11"/>
      <c r="AN257" s="11">
        <v>17</v>
      </c>
      <c r="AO257" s="11"/>
      <c r="AP257" s="11"/>
      <c r="AQ257" s="11"/>
      <c r="AR257" s="11"/>
      <c r="AS257" s="11"/>
      <c r="AT257" s="11"/>
      <c r="AU257" s="20" t="str">
        <f>HYPERLINK("http://www.openstreetmap.org/?mlat=34.2107&amp;mlon=44.5266&amp;zoom=12#map=12/34.2107/44.5266","Maplink1")</f>
        <v>Maplink1</v>
      </c>
      <c r="AV257" s="20" t="str">
        <f>HYPERLINK("https://www.google.iq/maps/search/+34.2107,44.5266/@34.2107,44.5266,14z?hl=en","Maplink2")</f>
        <v>Maplink2</v>
      </c>
      <c r="AW257" s="20" t="str">
        <f>HYPERLINK("http://www.bing.com/maps/?lvl=14&amp;sty=h&amp;cp=34.2107~44.5266&amp;sp=point.34.2107_44.5266","Maplink3")</f>
        <v>Maplink3</v>
      </c>
    </row>
    <row r="258" spans="1:49" x14ac:dyDescent="0.25">
      <c r="A258" s="9">
        <v>27166</v>
      </c>
      <c r="B258" s="10" t="s">
        <v>13</v>
      </c>
      <c r="C258" s="10" t="s">
        <v>474</v>
      </c>
      <c r="D258" s="10" t="s">
        <v>509</v>
      </c>
      <c r="E258" s="10" t="s">
        <v>510</v>
      </c>
      <c r="F258" s="10">
        <v>34.1966137</v>
      </c>
      <c r="G258" s="10">
        <v>44.533133909999997</v>
      </c>
      <c r="H258" s="11">
        <v>22</v>
      </c>
      <c r="I258" s="11">
        <v>132</v>
      </c>
      <c r="J258" s="11"/>
      <c r="K258" s="11"/>
      <c r="L258" s="11"/>
      <c r="M258" s="11"/>
      <c r="N258" s="11"/>
      <c r="O258" s="11"/>
      <c r="P258" s="11"/>
      <c r="Q258" s="11"/>
      <c r="R258" s="11">
        <v>22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>
        <v>22</v>
      </c>
      <c r="AE258" s="11"/>
      <c r="AF258" s="11"/>
      <c r="AG258" s="11"/>
      <c r="AH258" s="11"/>
      <c r="AI258" s="11"/>
      <c r="AJ258" s="11"/>
      <c r="AK258" s="11"/>
      <c r="AL258" s="11"/>
      <c r="AM258" s="11"/>
      <c r="AN258" s="11">
        <v>22</v>
      </c>
      <c r="AO258" s="11"/>
      <c r="AP258" s="11"/>
      <c r="AQ258" s="11"/>
      <c r="AR258" s="11"/>
      <c r="AS258" s="11"/>
      <c r="AT258" s="11"/>
      <c r="AU258" s="20" t="str">
        <f>HYPERLINK("http://www.openstreetmap.org/?mlat=34.1966&amp;mlon=44.5331&amp;zoom=12#map=12/34.1966/44.5331","Maplink1")</f>
        <v>Maplink1</v>
      </c>
      <c r="AV258" s="20" t="str">
        <f>HYPERLINK("https://www.google.iq/maps/search/+34.1966,44.5331/@34.1966,44.5331,14z?hl=en","Maplink2")</f>
        <v>Maplink2</v>
      </c>
      <c r="AW258" s="20" t="str">
        <f>HYPERLINK("http://www.bing.com/maps/?lvl=14&amp;sty=h&amp;cp=34.1966~44.5331&amp;sp=point.34.1966_44.5331","Maplink3")</f>
        <v>Maplink3</v>
      </c>
    </row>
    <row r="259" spans="1:49" x14ac:dyDescent="0.25">
      <c r="A259" s="9">
        <v>27181</v>
      </c>
      <c r="B259" s="10" t="s">
        <v>13</v>
      </c>
      <c r="C259" s="10" t="s">
        <v>474</v>
      </c>
      <c r="D259" s="10" t="s">
        <v>511</v>
      </c>
      <c r="E259" s="10" t="s">
        <v>512</v>
      </c>
      <c r="F259" s="10">
        <v>34.137664329899998</v>
      </c>
      <c r="G259" s="10">
        <v>44.4185541055</v>
      </c>
      <c r="H259" s="11">
        <v>20</v>
      </c>
      <c r="I259" s="11">
        <v>120</v>
      </c>
      <c r="J259" s="11"/>
      <c r="K259" s="11"/>
      <c r="L259" s="11"/>
      <c r="M259" s="11"/>
      <c r="N259" s="11"/>
      <c r="O259" s="11"/>
      <c r="P259" s="11"/>
      <c r="Q259" s="11"/>
      <c r="R259" s="11">
        <v>20</v>
      </c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>
        <v>20</v>
      </c>
      <c r="AE259" s="11"/>
      <c r="AF259" s="11"/>
      <c r="AG259" s="11"/>
      <c r="AH259" s="11"/>
      <c r="AI259" s="11"/>
      <c r="AJ259" s="11"/>
      <c r="AK259" s="11"/>
      <c r="AL259" s="11"/>
      <c r="AM259" s="11"/>
      <c r="AN259" s="11">
        <v>20</v>
      </c>
      <c r="AO259" s="11"/>
      <c r="AP259" s="11"/>
      <c r="AQ259" s="11"/>
      <c r="AR259" s="11"/>
      <c r="AS259" s="11"/>
      <c r="AT259" s="11"/>
      <c r="AU259" s="20" t="str">
        <f>HYPERLINK("http://www.openstreetmap.org/?mlat=34.1377&amp;mlon=44.4186&amp;zoom=12#map=12/34.1377/44.4186","Maplink1")</f>
        <v>Maplink1</v>
      </c>
      <c r="AV259" s="20" t="str">
        <f>HYPERLINK("https://www.google.iq/maps/search/+34.1377,44.4186/@34.1377,44.4186,14z?hl=en","Maplink2")</f>
        <v>Maplink2</v>
      </c>
      <c r="AW259" s="20" t="str">
        <f>HYPERLINK("http://www.bing.com/maps/?lvl=14&amp;sty=h&amp;cp=34.1377~44.4186&amp;sp=point.34.1377_44.4186","Maplink3")</f>
        <v>Maplink3</v>
      </c>
    </row>
    <row r="260" spans="1:49" x14ac:dyDescent="0.25">
      <c r="A260" s="9">
        <v>26057</v>
      </c>
      <c r="B260" s="10" t="s">
        <v>13</v>
      </c>
      <c r="C260" s="10" t="s">
        <v>474</v>
      </c>
      <c r="D260" s="10" t="s">
        <v>1831</v>
      </c>
      <c r="E260" s="10" t="s">
        <v>513</v>
      </c>
      <c r="F260" s="10">
        <v>34.079245159999999</v>
      </c>
      <c r="G260" s="10">
        <v>44.863570979999999</v>
      </c>
      <c r="H260" s="11">
        <v>37</v>
      </c>
      <c r="I260" s="11">
        <v>222</v>
      </c>
      <c r="J260" s="11"/>
      <c r="K260" s="11"/>
      <c r="L260" s="11"/>
      <c r="M260" s="11"/>
      <c r="N260" s="11"/>
      <c r="O260" s="11">
        <v>37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>
        <v>37</v>
      </c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>
        <v>37</v>
      </c>
      <c r="AO260" s="11"/>
      <c r="AP260" s="11"/>
      <c r="AQ260" s="11"/>
      <c r="AR260" s="11"/>
      <c r="AS260" s="11"/>
      <c r="AT260" s="11"/>
      <c r="AU260" s="20" t="str">
        <f>HYPERLINK("http://www.openstreetmap.org/?mlat=34.0792&amp;mlon=44.8636&amp;zoom=12#map=12/34.0792/44.8636","Maplink1")</f>
        <v>Maplink1</v>
      </c>
      <c r="AV260" s="20" t="str">
        <f>HYPERLINK("https://www.google.iq/maps/search/+34.0792,44.8636/@34.0792,44.8636,14z?hl=en","Maplink2")</f>
        <v>Maplink2</v>
      </c>
      <c r="AW260" s="20" t="str">
        <f>HYPERLINK("http://www.bing.com/maps/?lvl=14&amp;sty=h&amp;cp=34.0792~44.8636&amp;sp=point.34.0792_44.8636","Maplink3")</f>
        <v>Maplink3</v>
      </c>
    </row>
    <row r="261" spans="1:49" x14ac:dyDescent="0.25">
      <c r="A261" s="9">
        <v>27158</v>
      </c>
      <c r="B261" s="10" t="s">
        <v>13</v>
      </c>
      <c r="C261" s="10" t="s">
        <v>474</v>
      </c>
      <c r="D261" s="10" t="s">
        <v>515</v>
      </c>
      <c r="E261" s="10" t="s">
        <v>516</v>
      </c>
      <c r="F261" s="10">
        <v>34.324035248199998</v>
      </c>
      <c r="G261" s="10">
        <v>44.725879265800003</v>
      </c>
      <c r="H261" s="11">
        <v>75</v>
      </c>
      <c r="I261" s="11">
        <v>450</v>
      </c>
      <c r="J261" s="11"/>
      <c r="K261" s="11"/>
      <c r="L261" s="11"/>
      <c r="M261" s="11"/>
      <c r="N261" s="11"/>
      <c r="O261" s="11"/>
      <c r="P261" s="11"/>
      <c r="Q261" s="11"/>
      <c r="R261" s="11">
        <v>75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>
        <v>75</v>
      </c>
      <c r="AE261" s="11"/>
      <c r="AF261" s="11"/>
      <c r="AG261" s="11"/>
      <c r="AH261" s="11"/>
      <c r="AI261" s="11"/>
      <c r="AJ261" s="11"/>
      <c r="AK261" s="11"/>
      <c r="AL261" s="11"/>
      <c r="AM261" s="11"/>
      <c r="AN261" s="11">
        <v>75</v>
      </c>
      <c r="AO261" s="11"/>
      <c r="AP261" s="11"/>
      <c r="AQ261" s="11"/>
      <c r="AR261" s="11"/>
      <c r="AS261" s="11"/>
      <c r="AT261" s="11"/>
      <c r="AU261" s="20" t="str">
        <f>HYPERLINK("http://www.openstreetmap.org/?mlat=34.324&amp;mlon=44.7259&amp;zoom=12#map=12/34.324/44.7259","Maplink1")</f>
        <v>Maplink1</v>
      </c>
      <c r="AV261" s="20" t="str">
        <f>HYPERLINK("https://www.google.iq/maps/search/+34.324,44.7259/@34.324,44.7259,14z?hl=en","Maplink2")</f>
        <v>Maplink2</v>
      </c>
      <c r="AW261" s="20" t="str">
        <f>HYPERLINK("http://www.bing.com/maps/?lvl=14&amp;sty=h&amp;cp=34.324~44.7259&amp;sp=point.34.324_44.7259","Maplink3")</f>
        <v>Maplink3</v>
      </c>
    </row>
    <row r="262" spans="1:49" x14ac:dyDescent="0.25">
      <c r="A262" s="9">
        <v>27159</v>
      </c>
      <c r="B262" s="10" t="s">
        <v>13</v>
      </c>
      <c r="C262" s="10" t="s">
        <v>474</v>
      </c>
      <c r="D262" s="10" t="s">
        <v>517</v>
      </c>
      <c r="E262" s="10" t="s">
        <v>518</v>
      </c>
      <c r="F262" s="10">
        <v>34.326905563300002</v>
      </c>
      <c r="G262" s="10">
        <v>44.719431512600003</v>
      </c>
      <c r="H262" s="11">
        <v>35</v>
      </c>
      <c r="I262" s="11">
        <v>210</v>
      </c>
      <c r="J262" s="11"/>
      <c r="K262" s="11"/>
      <c r="L262" s="11"/>
      <c r="M262" s="11"/>
      <c r="N262" s="11"/>
      <c r="O262" s="11"/>
      <c r="P262" s="11"/>
      <c r="Q262" s="11"/>
      <c r="R262" s="11">
        <v>35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>
        <v>35</v>
      </c>
      <c r="AE262" s="11"/>
      <c r="AF262" s="11"/>
      <c r="AG262" s="11"/>
      <c r="AH262" s="11"/>
      <c r="AI262" s="11"/>
      <c r="AJ262" s="11"/>
      <c r="AK262" s="11"/>
      <c r="AL262" s="11"/>
      <c r="AM262" s="11"/>
      <c r="AN262" s="11">
        <v>35</v>
      </c>
      <c r="AO262" s="11"/>
      <c r="AP262" s="11"/>
      <c r="AQ262" s="11"/>
      <c r="AR262" s="11"/>
      <c r="AS262" s="11"/>
      <c r="AT262" s="11"/>
      <c r="AU262" s="20" t="str">
        <f>HYPERLINK("http://www.openstreetmap.org/?mlat=34.3269&amp;mlon=44.7194&amp;zoom=12#map=12/34.3269/44.7194","Maplink1")</f>
        <v>Maplink1</v>
      </c>
      <c r="AV262" s="20" t="str">
        <f>HYPERLINK("https://www.google.iq/maps/search/+34.3269,44.7194/@34.3269,44.7194,14z?hl=en","Maplink2")</f>
        <v>Maplink2</v>
      </c>
      <c r="AW262" s="20" t="str">
        <f>HYPERLINK("http://www.bing.com/maps/?lvl=14&amp;sty=h&amp;cp=34.3269~44.7194&amp;sp=point.34.3269_44.7194","Maplink3")</f>
        <v>Maplink3</v>
      </c>
    </row>
    <row r="263" spans="1:49" x14ac:dyDescent="0.25">
      <c r="A263" s="9">
        <v>11204</v>
      </c>
      <c r="B263" s="10" t="s">
        <v>13</v>
      </c>
      <c r="C263" s="10" t="s">
        <v>474</v>
      </c>
      <c r="D263" s="10" t="s">
        <v>519</v>
      </c>
      <c r="E263" s="10" t="s">
        <v>520</v>
      </c>
      <c r="F263" s="10">
        <v>34.268907679999998</v>
      </c>
      <c r="G263" s="10">
        <v>44.537397599999998</v>
      </c>
      <c r="H263" s="11">
        <v>81</v>
      </c>
      <c r="I263" s="11">
        <v>486</v>
      </c>
      <c r="J263" s="11"/>
      <c r="K263" s="11"/>
      <c r="L263" s="11"/>
      <c r="M263" s="11"/>
      <c r="N263" s="11"/>
      <c r="O263" s="11">
        <v>28</v>
      </c>
      <c r="P263" s="11"/>
      <c r="Q263" s="11"/>
      <c r="R263" s="11">
        <v>46</v>
      </c>
      <c r="S263" s="11"/>
      <c r="T263" s="11"/>
      <c r="U263" s="11"/>
      <c r="V263" s="11"/>
      <c r="W263" s="11"/>
      <c r="X263" s="11"/>
      <c r="Y263" s="11">
        <v>7</v>
      </c>
      <c r="Z263" s="11"/>
      <c r="AA263" s="11"/>
      <c r="AB263" s="11"/>
      <c r="AC263" s="11">
        <v>81</v>
      </c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>
        <v>81</v>
      </c>
      <c r="AO263" s="11"/>
      <c r="AP263" s="11"/>
      <c r="AQ263" s="11"/>
      <c r="AR263" s="11"/>
      <c r="AS263" s="11"/>
      <c r="AT263" s="11"/>
      <c r="AU263" s="20" t="str">
        <f>HYPERLINK("http://www.openstreetmap.org/?mlat=34.2689&amp;mlon=44.5374&amp;zoom=12#map=12/34.2689/44.5374","Maplink1")</f>
        <v>Maplink1</v>
      </c>
      <c r="AV263" s="20" t="str">
        <f>HYPERLINK("https://www.google.iq/maps/search/+34.2689,44.5374/@34.2689,44.5374,14z?hl=en","Maplink2")</f>
        <v>Maplink2</v>
      </c>
      <c r="AW263" s="20" t="str">
        <f>HYPERLINK("http://www.bing.com/maps/?lvl=14&amp;sty=h&amp;cp=34.2689~44.5374&amp;sp=point.34.2689_44.5374","Maplink3")</f>
        <v>Maplink3</v>
      </c>
    </row>
    <row r="264" spans="1:49" x14ac:dyDescent="0.25">
      <c r="A264" s="9">
        <v>29562</v>
      </c>
      <c r="B264" s="10" t="s">
        <v>13</v>
      </c>
      <c r="C264" s="10" t="s">
        <v>474</v>
      </c>
      <c r="D264" s="10" t="s">
        <v>521</v>
      </c>
      <c r="E264" s="10" t="s">
        <v>522</v>
      </c>
      <c r="F264" s="10">
        <v>34.280893118900003</v>
      </c>
      <c r="G264" s="10">
        <v>44.532462995099998</v>
      </c>
      <c r="H264" s="11">
        <v>15</v>
      </c>
      <c r="I264" s="11">
        <v>90</v>
      </c>
      <c r="J264" s="11"/>
      <c r="K264" s="11"/>
      <c r="L264" s="11"/>
      <c r="M264" s="11"/>
      <c r="N264" s="11"/>
      <c r="O264" s="11">
        <v>15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>
        <v>15</v>
      </c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>
        <v>15</v>
      </c>
      <c r="AO264" s="11"/>
      <c r="AP264" s="11"/>
      <c r="AQ264" s="11"/>
      <c r="AR264" s="11"/>
      <c r="AS264" s="11"/>
      <c r="AT264" s="11"/>
      <c r="AU264" s="20" t="str">
        <f>HYPERLINK("http://www.openstreetmap.org/?mlat=34.2809&amp;mlon=44.5325&amp;zoom=12#map=12/34.2809/44.5325","Maplink1")</f>
        <v>Maplink1</v>
      </c>
      <c r="AV264" s="20" t="str">
        <f>HYPERLINK("https://www.google.iq/maps/search/+34.2809,44.5325/@34.2809,44.5325,14z?hl=en","Maplink2")</f>
        <v>Maplink2</v>
      </c>
      <c r="AW264" s="20" t="str">
        <f>HYPERLINK("http://www.bing.com/maps/?lvl=14&amp;sty=h&amp;cp=34.2809~44.5325&amp;sp=point.34.2809_44.5325","Maplink3")</f>
        <v>Maplink3</v>
      </c>
    </row>
    <row r="265" spans="1:49" x14ac:dyDescent="0.25">
      <c r="A265" s="9">
        <v>28463</v>
      </c>
      <c r="B265" s="10" t="s">
        <v>13</v>
      </c>
      <c r="C265" s="10" t="s">
        <v>474</v>
      </c>
      <c r="D265" s="10" t="s">
        <v>523</v>
      </c>
      <c r="E265" s="10" t="s">
        <v>524</v>
      </c>
      <c r="F265" s="10">
        <v>34.256853977299997</v>
      </c>
      <c r="G265" s="10">
        <v>44.526214580400001</v>
      </c>
      <c r="H265" s="11">
        <v>85</v>
      </c>
      <c r="I265" s="11">
        <v>510</v>
      </c>
      <c r="J265" s="11"/>
      <c r="K265" s="11"/>
      <c r="L265" s="11"/>
      <c r="M265" s="11"/>
      <c r="N265" s="11"/>
      <c r="O265" s="11">
        <v>70</v>
      </c>
      <c r="P265" s="11"/>
      <c r="Q265" s="11"/>
      <c r="R265" s="11">
        <v>15</v>
      </c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>
        <v>85</v>
      </c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>
        <v>85</v>
      </c>
      <c r="AO265" s="11"/>
      <c r="AP265" s="11"/>
      <c r="AQ265" s="11"/>
      <c r="AR265" s="11"/>
      <c r="AS265" s="11"/>
      <c r="AT265" s="11"/>
      <c r="AU265" s="20" t="str">
        <f>HYPERLINK("http://www.openstreetmap.org/?mlat=34.2569&amp;mlon=44.5262&amp;zoom=12#map=12/34.2569/44.5262","Maplink1")</f>
        <v>Maplink1</v>
      </c>
      <c r="AV265" s="20" t="str">
        <f>HYPERLINK("https://www.google.iq/maps/search/+34.2569,44.5262/@34.2569,44.5262,14z?hl=en","Maplink2")</f>
        <v>Maplink2</v>
      </c>
      <c r="AW265" s="20" t="str">
        <f>HYPERLINK("http://www.bing.com/maps/?lvl=14&amp;sty=h&amp;cp=34.2569~44.5262&amp;sp=point.34.2569_44.5262","Maplink3")</f>
        <v>Maplink3</v>
      </c>
    </row>
    <row r="266" spans="1:49" x14ac:dyDescent="0.25">
      <c r="A266" s="9">
        <v>28462</v>
      </c>
      <c r="B266" s="10" t="s">
        <v>13</v>
      </c>
      <c r="C266" s="10" t="s">
        <v>474</v>
      </c>
      <c r="D266" s="10" t="s">
        <v>525</v>
      </c>
      <c r="E266" s="10" t="s">
        <v>526</v>
      </c>
      <c r="F266" s="10">
        <v>34.253451541899999</v>
      </c>
      <c r="G266" s="10">
        <v>44.525930832699999</v>
      </c>
      <c r="H266" s="11">
        <v>110</v>
      </c>
      <c r="I266" s="11">
        <v>660</v>
      </c>
      <c r="J266" s="11"/>
      <c r="K266" s="11"/>
      <c r="L266" s="11"/>
      <c r="M266" s="11"/>
      <c r="N266" s="11"/>
      <c r="O266" s="11">
        <v>85</v>
      </c>
      <c r="P266" s="11"/>
      <c r="Q266" s="11"/>
      <c r="R266" s="11">
        <v>25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>
        <v>110</v>
      </c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>
        <v>110</v>
      </c>
      <c r="AO266" s="11"/>
      <c r="AP266" s="11"/>
      <c r="AQ266" s="11"/>
      <c r="AR266" s="11"/>
      <c r="AS266" s="11"/>
      <c r="AT266" s="11"/>
      <c r="AU266" s="20" t="str">
        <f>HYPERLINK("http://www.openstreetmap.org/?mlat=34.2535&amp;mlon=44.5259&amp;zoom=12#map=12/34.2535/44.5259","Maplink1")</f>
        <v>Maplink1</v>
      </c>
      <c r="AV266" s="20" t="str">
        <f>HYPERLINK("https://www.google.iq/maps/search/+34.2535,44.5259/@34.2535,44.5259,14z?hl=en","Maplink2")</f>
        <v>Maplink2</v>
      </c>
      <c r="AW266" s="20" t="str">
        <f>HYPERLINK("http://www.bing.com/maps/?lvl=14&amp;sty=h&amp;cp=34.2535~44.5259&amp;sp=point.34.2535_44.5259","Maplink3")</f>
        <v>Maplink3</v>
      </c>
    </row>
    <row r="267" spans="1:49" x14ac:dyDescent="0.25">
      <c r="A267" s="9">
        <v>27178</v>
      </c>
      <c r="B267" s="10" t="s">
        <v>13</v>
      </c>
      <c r="C267" s="10" t="s">
        <v>474</v>
      </c>
      <c r="D267" s="10" t="s">
        <v>527</v>
      </c>
      <c r="E267" s="10" t="s">
        <v>528</v>
      </c>
      <c r="F267" s="10">
        <v>34.034518274</v>
      </c>
      <c r="G267" s="10">
        <v>44.368935247800003</v>
      </c>
      <c r="H267" s="11">
        <v>30</v>
      </c>
      <c r="I267" s="11">
        <v>180</v>
      </c>
      <c r="J267" s="11"/>
      <c r="K267" s="11"/>
      <c r="L267" s="11"/>
      <c r="M267" s="11"/>
      <c r="N267" s="11"/>
      <c r="O267" s="11"/>
      <c r="P267" s="11"/>
      <c r="Q267" s="11"/>
      <c r="R267" s="11">
        <v>30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>
        <v>30</v>
      </c>
      <c r="AE267" s="11"/>
      <c r="AF267" s="11"/>
      <c r="AG267" s="11"/>
      <c r="AH267" s="11"/>
      <c r="AI267" s="11"/>
      <c r="AJ267" s="11"/>
      <c r="AK267" s="11"/>
      <c r="AL267" s="11"/>
      <c r="AM267" s="11"/>
      <c r="AN267" s="11">
        <v>30</v>
      </c>
      <c r="AO267" s="11"/>
      <c r="AP267" s="11"/>
      <c r="AQ267" s="11"/>
      <c r="AR267" s="11"/>
      <c r="AS267" s="11"/>
      <c r="AT267" s="11"/>
      <c r="AU267" s="20" t="str">
        <f>HYPERLINK("http://www.openstreetmap.org/?mlat=34.0345&amp;mlon=44.3689&amp;zoom=12#map=12/34.0345/44.3689","Maplink1")</f>
        <v>Maplink1</v>
      </c>
      <c r="AV267" s="20" t="str">
        <f>HYPERLINK("https://www.google.iq/maps/search/+34.0345,44.3689/@34.0345,44.3689,14z?hl=en","Maplink2")</f>
        <v>Maplink2</v>
      </c>
      <c r="AW267" s="20" t="str">
        <f>HYPERLINK("http://www.bing.com/maps/?lvl=14&amp;sty=h&amp;cp=34.0345~44.3689&amp;sp=point.34.0345_44.3689","Maplink3")</f>
        <v>Maplink3</v>
      </c>
    </row>
    <row r="268" spans="1:49" x14ac:dyDescent="0.25">
      <c r="A268" s="9">
        <v>29563</v>
      </c>
      <c r="B268" s="10" t="s">
        <v>13</v>
      </c>
      <c r="C268" s="10" t="s">
        <v>474</v>
      </c>
      <c r="D268" s="10" t="s">
        <v>529</v>
      </c>
      <c r="E268" s="10" t="s">
        <v>530</v>
      </c>
      <c r="F268" s="10">
        <v>34.268471329299999</v>
      </c>
      <c r="G268" s="10">
        <v>44.538751337000001</v>
      </c>
      <c r="H268" s="11">
        <v>20</v>
      </c>
      <c r="I268" s="11">
        <v>120</v>
      </c>
      <c r="J268" s="11"/>
      <c r="K268" s="11"/>
      <c r="L268" s="11"/>
      <c r="M268" s="11"/>
      <c r="N268" s="11"/>
      <c r="O268" s="11">
        <v>20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>
        <v>20</v>
      </c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>
        <v>20</v>
      </c>
      <c r="AO268" s="11"/>
      <c r="AP268" s="11"/>
      <c r="AQ268" s="11"/>
      <c r="AR268" s="11"/>
      <c r="AS268" s="11"/>
      <c r="AT268" s="11"/>
      <c r="AU268" s="20" t="str">
        <f>HYPERLINK("http://www.openstreetmap.org/?mlat=34.2685&amp;mlon=44.5388&amp;zoom=12#map=12/34.2685/44.5388","Maplink1")</f>
        <v>Maplink1</v>
      </c>
      <c r="AV268" s="20" t="str">
        <f>HYPERLINK("https://www.google.iq/maps/search/+34.2685,44.5388/@34.2685,44.5388,14z?hl=en","Maplink2")</f>
        <v>Maplink2</v>
      </c>
      <c r="AW268" s="20" t="str">
        <f>HYPERLINK("http://www.bing.com/maps/?lvl=14&amp;sty=h&amp;cp=34.2685~44.5388&amp;sp=point.34.2685_44.5388","Maplink3")</f>
        <v>Maplink3</v>
      </c>
    </row>
    <row r="269" spans="1:49" x14ac:dyDescent="0.25">
      <c r="A269" s="9">
        <v>28467</v>
      </c>
      <c r="B269" s="10" t="s">
        <v>13</v>
      </c>
      <c r="C269" s="10" t="s">
        <v>474</v>
      </c>
      <c r="D269" s="10" t="s">
        <v>531</v>
      </c>
      <c r="E269" s="10" t="s">
        <v>532</v>
      </c>
      <c r="F269" s="10">
        <v>34.3587597135</v>
      </c>
      <c r="G269" s="10">
        <v>44.553733577199999</v>
      </c>
      <c r="H269" s="11">
        <v>94</v>
      </c>
      <c r="I269" s="11">
        <v>564</v>
      </c>
      <c r="J269" s="11"/>
      <c r="K269" s="11"/>
      <c r="L269" s="11"/>
      <c r="M269" s="11"/>
      <c r="N269" s="11"/>
      <c r="O269" s="11">
        <v>85</v>
      </c>
      <c r="P269" s="11"/>
      <c r="Q269" s="11"/>
      <c r="R269" s="11">
        <v>9</v>
      </c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>
        <v>94</v>
      </c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>
        <v>94</v>
      </c>
      <c r="AO269" s="11"/>
      <c r="AP269" s="11"/>
      <c r="AQ269" s="11"/>
      <c r="AR269" s="11"/>
      <c r="AS269" s="11"/>
      <c r="AT269" s="11"/>
      <c r="AU269" s="20" t="str">
        <f>HYPERLINK("http://www.openstreetmap.org/?mlat=34.3588&amp;mlon=44.5537&amp;zoom=12#map=12/34.3588/44.5537","Maplink1")</f>
        <v>Maplink1</v>
      </c>
      <c r="AV269" s="20" t="str">
        <f>HYPERLINK("https://www.google.iq/maps/search/+34.3588,44.5537/@34.3588,44.5537,14z?hl=en","Maplink2")</f>
        <v>Maplink2</v>
      </c>
      <c r="AW269" s="20" t="str">
        <f>HYPERLINK("http://www.bing.com/maps/?lvl=14&amp;sty=h&amp;cp=34.3588~44.5537&amp;sp=point.34.3588_44.5537","Maplink3")</f>
        <v>Maplink3</v>
      </c>
    </row>
    <row r="270" spans="1:49" x14ac:dyDescent="0.25">
      <c r="A270" s="9">
        <v>25662</v>
      </c>
      <c r="B270" s="10" t="s">
        <v>13</v>
      </c>
      <c r="C270" s="10" t="s">
        <v>474</v>
      </c>
      <c r="D270" s="10" t="s">
        <v>1832</v>
      </c>
      <c r="E270" s="10" t="s">
        <v>477</v>
      </c>
      <c r="F270" s="10">
        <v>34.080570109999996</v>
      </c>
      <c r="G270" s="10">
        <v>44.919899021600003</v>
      </c>
      <c r="H270" s="11">
        <v>318</v>
      </c>
      <c r="I270" s="11">
        <v>1908</v>
      </c>
      <c r="J270" s="11"/>
      <c r="K270" s="11"/>
      <c r="L270" s="11"/>
      <c r="M270" s="11"/>
      <c r="N270" s="11"/>
      <c r="O270" s="11">
        <v>230</v>
      </c>
      <c r="P270" s="11"/>
      <c r="Q270" s="11"/>
      <c r="R270" s="11"/>
      <c r="S270" s="11"/>
      <c r="T270" s="11"/>
      <c r="U270" s="11"/>
      <c r="V270" s="11"/>
      <c r="W270" s="11"/>
      <c r="X270" s="11"/>
      <c r="Y270" s="11">
        <v>88</v>
      </c>
      <c r="Z270" s="11"/>
      <c r="AA270" s="11"/>
      <c r="AB270" s="11"/>
      <c r="AC270" s="11">
        <v>318</v>
      </c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>
        <v>318</v>
      </c>
      <c r="AO270" s="11"/>
      <c r="AP270" s="11"/>
      <c r="AQ270" s="11"/>
      <c r="AR270" s="11"/>
      <c r="AS270" s="11"/>
      <c r="AT270" s="11"/>
      <c r="AU270" s="20" t="str">
        <f>HYPERLINK("http://www.openstreetmap.org/?mlat=34.0806&amp;mlon=44.9199&amp;zoom=12#map=12/34.0806/44.9199","Maplink1")</f>
        <v>Maplink1</v>
      </c>
      <c r="AV270" s="20" t="str">
        <f>HYPERLINK("https://www.google.iq/maps/search/+34.0806,44.9199/@34.0806,44.9199,14z?hl=en","Maplink2")</f>
        <v>Maplink2</v>
      </c>
      <c r="AW270" s="20" t="str">
        <f>HYPERLINK("http://www.bing.com/maps/?lvl=14&amp;sty=h&amp;cp=34.0806~44.9199&amp;sp=point.34.0806_44.9199","Maplink3")</f>
        <v>Maplink3</v>
      </c>
    </row>
    <row r="271" spans="1:49" x14ac:dyDescent="0.25">
      <c r="A271" s="9">
        <v>25667</v>
      </c>
      <c r="B271" s="10" t="s">
        <v>13</v>
      </c>
      <c r="C271" s="10" t="s">
        <v>474</v>
      </c>
      <c r="D271" s="10" t="s">
        <v>1833</v>
      </c>
      <c r="E271" s="10" t="s">
        <v>499</v>
      </c>
      <c r="F271" s="10">
        <v>34.086576999999998</v>
      </c>
      <c r="G271" s="10">
        <v>44.929876999999998</v>
      </c>
      <c r="H271" s="11">
        <v>317</v>
      </c>
      <c r="I271" s="11">
        <v>1902</v>
      </c>
      <c r="J271" s="11"/>
      <c r="K271" s="11"/>
      <c r="L271" s="11"/>
      <c r="M271" s="11"/>
      <c r="N271" s="11"/>
      <c r="O271" s="11">
        <v>267</v>
      </c>
      <c r="P271" s="11"/>
      <c r="Q271" s="11"/>
      <c r="R271" s="11">
        <v>50</v>
      </c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>
        <v>317</v>
      </c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>
        <v>317</v>
      </c>
      <c r="AO271" s="11"/>
      <c r="AP271" s="11"/>
      <c r="AQ271" s="11"/>
      <c r="AR271" s="11"/>
      <c r="AS271" s="11"/>
      <c r="AT271" s="11"/>
      <c r="AU271" s="20" t="str">
        <f>HYPERLINK("http://www.openstreetmap.org/?mlat=34.0866&amp;mlon=44.9299&amp;zoom=12#map=12/34.0866/44.9299","Maplink1")</f>
        <v>Maplink1</v>
      </c>
      <c r="AV271" s="20" t="str">
        <f>HYPERLINK("https://www.google.iq/maps/search/+34.0866,44.9299/@34.0866,44.9299,14z?hl=en","Maplink2")</f>
        <v>Maplink2</v>
      </c>
      <c r="AW271" s="20" t="str">
        <f>HYPERLINK("http://www.bing.com/maps/?lvl=14&amp;sty=h&amp;cp=34.0866~44.9299&amp;sp=point.34.0866_44.9299","Maplink3")</f>
        <v>Maplink3</v>
      </c>
    </row>
    <row r="272" spans="1:49" x14ac:dyDescent="0.25">
      <c r="A272" s="9">
        <v>25666</v>
      </c>
      <c r="B272" s="10" t="s">
        <v>13</v>
      </c>
      <c r="C272" s="10" t="s">
        <v>474</v>
      </c>
      <c r="D272" s="10" t="s">
        <v>1834</v>
      </c>
      <c r="E272" s="10" t="s">
        <v>506</v>
      </c>
      <c r="F272" s="10">
        <v>34.067463302199997</v>
      </c>
      <c r="G272" s="10">
        <v>44.779014281000002</v>
      </c>
      <c r="H272" s="11">
        <v>72</v>
      </c>
      <c r="I272" s="11">
        <v>432</v>
      </c>
      <c r="J272" s="11"/>
      <c r="K272" s="11"/>
      <c r="L272" s="11"/>
      <c r="M272" s="11"/>
      <c r="N272" s="11"/>
      <c r="O272" s="11">
        <v>72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>
        <v>72</v>
      </c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>
        <v>72</v>
      </c>
      <c r="AQ272" s="11"/>
      <c r="AR272" s="11"/>
      <c r="AS272" s="11"/>
      <c r="AT272" s="11"/>
      <c r="AU272" s="20" t="str">
        <f>HYPERLINK("http://www.openstreetmap.org/?mlat=34.0675&amp;mlon=44.779&amp;zoom=12#map=12/34.0675/44.779","Maplink1")</f>
        <v>Maplink1</v>
      </c>
      <c r="AV272" s="20" t="str">
        <f>HYPERLINK("https://www.google.iq/maps/search/+34.0675,44.779/@34.0675,44.779,14z?hl=en","Maplink2")</f>
        <v>Maplink2</v>
      </c>
      <c r="AW272" s="20" t="str">
        <f>HYPERLINK("http://www.bing.com/maps/?lvl=14&amp;sty=h&amp;cp=34.0675~44.779&amp;sp=point.34.0675_44.779","Maplink3")</f>
        <v>Maplink3</v>
      </c>
    </row>
    <row r="273" spans="1:49" x14ac:dyDescent="0.25">
      <c r="A273" s="9">
        <v>25661</v>
      </c>
      <c r="B273" s="10" t="s">
        <v>13</v>
      </c>
      <c r="C273" s="10" t="s">
        <v>474</v>
      </c>
      <c r="D273" s="10" t="s">
        <v>1835</v>
      </c>
      <c r="E273" s="10" t="s">
        <v>514</v>
      </c>
      <c r="F273" s="10">
        <v>34.085930480000002</v>
      </c>
      <c r="G273" s="10">
        <v>44.72657487</v>
      </c>
      <c r="H273" s="11">
        <v>230</v>
      </c>
      <c r="I273" s="11">
        <v>1380</v>
      </c>
      <c r="J273" s="11"/>
      <c r="K273" s="11"/>
      <c r="L273" s="11"/>
      <c r="M273" s="11"/>
      <c r="N273" s="11"/>
      <c r="O273" s="11">
        <v>230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>
        <v>230</v>
      </c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>
        <v>230</v>
      </c>
      <c r="AQ273" s="11"/>
      <c r="AR273" s="11"/>
      <c r="AS273" s="11"/>
      <c r="AT273" s="11"/>
      <c r="AU273" s="20" t="str">
        <f>HYPERLINK("http://www.openstreetmap.org/?mlat=34.0859&amp;mlon=44.7266&amp;zoom=12#map=12/34.0859/44.7266","Maplink1")</f>
        <v>Maplink1</v>
      </c>
      <c r="AV273" s="20" t="str">
        <f>HYPERLINK("https://www.google.iq/maps/search/+34.0859,44.7266/@34.0859,44.7266,14z?hl=en","Maplink2")</f>
        <v>Maplink2</v>
      </c>
      <c r="AW273" s="20" t="str">
        <f>HYPERLINK("http://www.bing.com/maps/?lvl=14&amp;sty=h&amp;cp=34.0859~44.7266&amp;sp=point.34.0859_44.7266","Maplink3")</f>
        <v>Maplink3</v>
      </c>
    </row>
    <row r="274" spans="1:49" x14ac:dyDescent="0.25">
      <c r="A274" s="9">
        <v>32019</v>
      </c>
      <c r="B274" s="10" t="s">
        <v>13</v>
      </c>
      <c r="C274" s="10" t="s">
        <v>474</v>
      </c>
      <c r="D274" s="10" t="s">
        <v>533</v>
      </c>
      <c r="E274" s="10" t="s">
        <v>534</v>
      </c>
      <c r="F274" s="10">
        <v>34.415520999999998</v>
      </c>
      <c r="G274" s="10">
        <v>44.587749000000002</v>
      </c>
      <c r="H274" s="11">
        <v>7</v>
      </c>
      <c r="I274" s="11">
        <v>42</v>
      </c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>
        <v>7</v>
      </c>
      <c r="Z274" s="11"/>
      <c r="AA274" s="11"/>
      <c r="AB274" s="11"/>
      <c r="AC274" s="11">
        <v>7</v>
      </c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>
        <v>7</v>
      </c>
      <c r="AO274" s="11"/>
      <c r="AP274" s="11"/>
      <c r="AQ274" s="11"/>
      <c r="AR274" s="11"/>
      <c r="AS274" s="11"/>
      <c r="AT274" s="11"/>
      <c r="AU274" s="20" t="str">
        <f>HYPERLINK("http://www.openstreetmap.org/?mlat=34.4155&amp;mlon=44.5877&amp;zoom=12#map=12/34.4155/44.5877","Maplink1")</f>
        <v>Maplink1</v>
      </c>
      <c r="AV274" s="20" t="str">
        <f>HYPERLINK("https://www.google.iq/maps/search/+34.4155,44.5877/@34.4155,44.5877,14z?hl=en","Maplink2")</f>
        <v>Maplink2</v>
      </c>
      <c r="AW274" s="20" t="str">
        <f>HYPERLINK("http://www.bing.com/maps/?lvl=14&amp;sty=h&amp;cp=34.4155~44.5877&amp;sp=point.34.4155_44.5877","Maplink3")</f>
        <v>Maplink3</v>
      </c>
    </row>
    <row r="275" spans="1:49" x14ac:dyDescent="0.25">
      <c r="A275" s="9">
        <v>29576</v>
      </c>
      <c r="B275" s="10" t="s">
        <v>13</v>
      </c>
      <c r="C275" s="10" t="s">
        <v>474</v>
      </c>
      <c r="D275" s="10" t="s">
        <v>535</v>
      </c>
      <c r="E275" s="10" t="s">
        <v>536</v>
      </c>
      <c r="F275" s="10">
        <v>34.361026108499999</v>
      </c>
      <c r="G275" s="10">
        <v>44.570649765600002</v>
      </c>
      <c r="H275" s="11">
        <v>145</v>
      </c>
      <c r="I275" s="11">
        <v>870</v>
      </c>
      <c r="J275" s="11"/>
      <c r="K275" s="11"/>
      <c r="L275" s="11"/>
      <c r="M275" s="11"/>
      <c r="N275" s="11"/>
      <c r="O275" s="11"/>
      <c r="P275" s="11">
        <v>15</v>
      </c>
      <c r="Q275" s="11"/>
      <c r="R275" s="11">
        <v>105</v>
      </c>
      <c r="S275" s="11"/>
      <c r="T275" s="11"/>
      <c r="U275" s="11"/>
      <c r="V275" s="11"/>
      <c r="W275" s="11"/>
      <c r="X275" s="11"/>
      <c r="Y275" s="11">
        <v>25</v>
      </c>
      <c r="Z275" s="11"/>
      <c r="AA275" s="11"/>
      <c r="AB275" s="11"/>
      <c r="AC275" s="11">
        <v>145</v>
      </c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>
        <v>145</v>
      </c>
      <c r="AO275" s="11"/>
      <c r="AP275" s="11"/>
      <c r="AQ275" s="11"/>
      <c r="AR275" s="11"/>
      <c r="AS275" s="11"/>
      <c r="AT275" s="11"/>
      <c r="AU275" s="20" t="str">
        <f>HYPERLINK("http://www.openstreetmap.org/?mlat=34.361&amp;mlon=44.5706&amp;zoom=12#map=12/34.361/44.5706","Maplink1")</f>
        <v>Maplink1</v>
      </c>
      <c r="AV275" s="20" t="str">
        <f>HYPERLINK("https://www.google.iq/maps/search/+34.361,44.5706/@34.361,44.5706,14z?hl=en","Maplink2")</f>
        <v>Maplink2</v>
      </c>
      <c r="AW275" s="20" t="str">
        <f>HYPERLINK("http://www.bing.com/maps/?lvl=14&amp;sty=h&amp;cp=34.361~44.5706&amp;sp=point.34.361_44.5706","Maplink3")</f>
        <v>Maplink3</v>
      </c>
    </row>
    <row r="276" spans="1:49" x14ac:dyDescent="0.25">
      <c r="A276" s="9">
        <v>21165</v>
      </c>
      <c r="B276" s="10" t="s">
        <v>13</v>
      </c>
      <c r="C276" s="10" t="s">
        <v>474</v>
      </c>
      <c r="D276" s="10" t="s">
        <v>537</v>
      </c>
      <c r="E276" s="10" t="s">
        <v>538</v>
      </c>
      <c r="F276" s="10">
        <v>34.429904999999998</v>
      </c>
      <c r="G276" s="10">
        <v>44.516019999999997</v>
      </c>
      <c r="H276" s="11">
        <v>145</v>
      </c>
      <c r="I276" s="11">
        <v>870</v>
      </c>
      <c r="J276" s="11"/>
      <c r="K276" s="11"/>
      <c r="L276" s="11"/>
      <c r="M276" s="11"/>
      <c r="N276" s="11"/>
      <c r="O276" s="11">
        <v>80</v>
      </c>
      <c r="P276" s="11"/>
      <c r="Q276" s="11"/>
      <c r="R276" s="11">
        <v>55</v>
      </c>
      <c r="S276" s="11"/>
      <c r="T276" s="11"/>
      <c r="U276" s="11"/>
      <c r="V276" s="11"/>
      <c r="W276" s="11"/>
      <c r="X276" s="11"/>
      <c r="Y276" s="11">
        <v>10</v>
      </c>
      <c r="Z276" s="11"/>
      <c r="AA276" s="11"/>
      <c r="AB276" s="11"/>
      <c r="AC276" s="11">
        <v>145</v>
      </c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>
        <v>145</v>
      </c>
      <c r="AO276" s="11"/>
      <c r="AP276" s="11"/>
      <c r="AQ276" s="11"/>
      <c r="AR276" s="11"/>
      <c r="AS276" s="11"/>
      <c r="AT276" s="11"/>
      <c r="AU276" s="20" t="str">
        <f>HYPERLINK("http://www.openstreetmap.org/?mlat=34.4299&amp;mlon=44.516&amp;zoom=12#map=12/34.4299/44.516","Maplink1")</f>
        <v>Maplink1</v>
      </c>
      <c r="AV276" s="20" t="str">
        <f>HYPERLINK("https://www.google.iq/maps/search/+34.4299,44.516/@34.4299,44.516,14z?hl=en","Maplink2")</f>
        <v>Maplink2</v>
      </c>
      <c r="AW276" s="20" t="str">
        <f>HYPERLINK("http://www.bing.com/maps/?lvl=14&amp;sty=h&amp;cp=34.4299~44.516&amp;sp=point.34.4299_44.516","Maplink3")</f>
        <v>Maplink3</v>
      </c>
    </row>
    <row r="277" spans="1:49" x14ac:dyDescent="0.25">
      <c r="A277" s="9">
        <v>27164</v>
      </c>
      <c r="B277" s="10" t="s">
        <v>13</v>
      </c>
      <c r="C277" s="10" t="s">
        <v>474</v>
      </c>
      <c r="D277" s="10" t="s">
        <v>539</v>
      </c>
      <c r="E277" s="10" t="s">
        <v>540</v>
      </c>
      <c r="F277" s="10">
        <v>34.33645379</v>
      </c>
      <c r="G277" s="10">
        <v>44.638700579999998</v>
      </c>
      <c r="H277" s="11">
        <v>10</v>
      </c>
      <c r="I277" s="11">
        <v>60</v>
      </c>
      <c r="J277" s="11"/>
      <c r="K277" s="11"/>
      <c r="L277" s="11"/>
      <c r="M277" s="11"/>
      <c r="N277" s="11"/>
      <c r="O277" s="11"/>
      <c r="P277" s="11"/>
      <c r="Q277" s="11"/>
      <c r="R277" s="11">
        <v>10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>
        <v>10</v>
      </c>
      <c r="AE277" s="11"/>
      <c r="AF277" s="11"/>
      <c r="AG277" s="11"/>
      <c r="AH277" s="11"/>
      <c r="AI277" s="11"/>
      <c r="AJ277" s="11"/>
      <c r="AK277" s="11"/>
      <c r="AL277" s="11"/>
      <c r="AM277" s="11"/>
      <c r="AN277" s="11">
        <v>10</v>
      </c>
      <c r="AO277" s="11"/>
      <c r="AP277" s="11"/>
      <c r="AQ277" s="11"/>
      <c r="AR277" s="11"/>
      <c r="AS277" s="11"/>
      <c r="AT277" s="11"/>
      <c r="AU277" s="20" t="str">
        <f>HYPERLINK("http://www.openstreetmap.org/?mlat=34.3365&amp;mlon=44.6387&amp;zoom=12#map=12/34.3365/44.6387","Maplink1")</f>
        <v>Maplink1</v>
      </c>
      <c r="AV277" s="20" t="str">
        <f>HYPERLINK("https://www.google.iq/maps/search/+34.3365,44.6387/@34.3365,44.6387,14z?hl=en","Maplink2")</f>
        <v>Maplink2</v>
      </c>
      <c r="AW277" s="20" t="str">
        <f>HYPERLINK("http://www.bing.com/maps/?lvl=14&amp;sty=h&amp;cp=34.3365~44.6387&amp;sp=point.34.3365_44.6387","Maplink3")</f>
        <v>Maplink3</v>
      </c>
    </row>
    <row r="278" spans="1:49" x14ac:dyDescent="0.25">
      <c r="A278" s="9">
        <v>27163</v>
      </c>
      <c r="B278" s="10" t="s">
        <v>13</v>
      </c>
      <c r="C278" s="10" t="s">
        <v>474</v>
      </c>
      <c r="D278" s="10" t="s">
        <v>541</v>
      </c>
      <c r="E278" s="10" t="s">
        <v>542</v>
      </c>
      <c r="F278" s="10">
        <v>34.365303620399999</v>
      </c>
      <c r="G278" s="10">
        <v>44.631974494700003</v>
      </c>
      <c r="H278" s="11">
        <v>8</v>
      </c>
      <c r="I278" s="11">
        <v>48</v>
      </c>
      <c r="J278" s="11"/>
      <c r="K278" s="11"/>
      <c r="L278" s="11"/>
      <c r="M278" s="11"/>
      <c r="N278" s="11"/>
      <c r="O278" s="11"/>
      <c r="P278" s="11"/>
      <c r="Q278" s="11"/>
      <c r="R278" s="11">
        <v>8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>
        <v>8</v>
      </c>
      <c r="AE278" s="11"/>
      <c r="AF278" s="11"/>
      <c r="AG278" s="11"/>
      <c r="AH278" s="11"/>
      <c r="AI278" s="11"/>
      <c r="AJ278" s="11"/>
      <c r="AK278" s="11"/>
      <c r="AL278" s="11"/>
      <c r="AM278" s="11"/>
      <c r="AN278" s="11">
        <v>8</v>
      </c>
      <c r="AO278" s="11"/>
      <c r="AP278" s="11"/>
      <c r="AQ278" s="11"/>
      <c r="AR278" s="11"/>
      <c r="AS278" s="11"/>
      <c r="AT278" s="11"/>
      <c r="AU278" s="20" t="str">
        <f>HYPERLINK("http://www.openstreetmap.org/?mlat=34.3653&amp;mlon=44.632&amp;zoom=12#map=12/34.3653/44.632","Maplink1")</f>
        <v>Maplink1</v>
      </c>
      <c r="AV278" s="20" t="str">
        <f>HYPERLINK("https://www.google.iq/maps/search/+34.3653,44.632/@34.3653,44.632,14z?hl=en","Maplink2")</f>
        <v>Maplink2</v>
      </c>
      <c r="AW278" s="20" t="str">
        <f>HYPERLINK("http://www.bing.com/maps/?lvl=14&amp;sty=h&amp;cp=34.3653~44.632&amp;sp=point.34.3653_44.632","Maplink3")</f>
        <v>Maplink3</v>
      </c>
    </row>
    <row r="279" spans="1:49" x14ac:dyDescent="0.25">
      <c r="A279" s="9">
        <v>27173</v>
      </c>
      <c r="B279" s="10" t="s">
        <v>13</v>
      </c>
      <c r="C279" s="10" t="s">
        <v>474</v>
      </c>
      <c r="D279" s="10" t="s">
        <v>543</v>
      </c>
      <c r="E279" s="10" t="s">
        <v>544</v>
      </c>
      <c r="F279" s="10">
        <v>34.115016389200001</v>
      </c>
      <c r="G279" s="10">
        <v>44.413530827899997</v>
      </c>
      <c r="H279" s="11">
        <v>13</v>
      </c>
      <c r="I279" s="11">
        <v>78</v>
      </c>
      <c r="J279" s="11"/>
      <c r="K279" s="11"/>
      <c r="L279" s="11"/>
      <c r="M279" s="11"/>
      <c r="N279" s="11"/>
      <c r="O279" s="11"/>
      <c r="P279" s="11"/>
      <c r="Q279" s="11"/>
      <c r="R279" s="11">
        <v>13</v>
      </c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>
        <v>13</v>
      </c>
      <c r="AE279" s="11"/>
      <c r="AF279" s="11"/>
      <c r="AG279" s="11"/>
      <c r="AH279" s="11"/>
      <c r="AI279" s="11"/>
      <c r="AJ279" s="11"/>
      <c r="AK279" s="11"/>
      <c r="AL279" s="11"/>
      <c r="AM279" s="11"/>
      <c r="AN279" s="11">
        <v>13</v>
      </c>
      <c r="AO279" s="11"/>
      <c r="AP279" s="11"/>
      <c r="AQ279" s="11"/>
      <c r="AR279" s="11"/>
      <c r="AS279" s="11"/>
      <c r="AT279" s="11"/>
      <c r="AU279" s="20" t="str">
        <f>HYPERLINK("http://www.openstreetmap.org/?mlat=34.115&amp;mlon=44.4135&amp;zoom=12#map=12/34.115/44.4135","Maplink1")</f>
        <v>Maplink1</v>
      </c>
      <c r="AV279" s="20" t="str">
        <f>HYPERLINK("https://www.google.iq/maps/search/+34.115,44.4135/@34.115,44.4135,14z?hl=en","Maplink2")</f>
        <v>Maplink2</v>
      </c>
      <c r="AW279" s="20" t="str">
        <f>HYPERLINK("http://www.bing.com/maps/?lvl=14&amp;sty=h&amp;cp=34.115~44.4135&amp;sp=point.34.115_44.4135","Maplink3")</f>
        <v>Maplink3</v>
      </c>
    </row>
    <row r="280" spans="1:49" x14ac:dyDescent="0.25">
      <c r="A280" s="9">
        <v>29610</v>
      </c>
      <c r="B280" s="10" t="s">
        <v>13</v>
      </c>
      <c r="C280" s="10" t="s">
        <v>474</v>
      </c>
      <c r="D280" s="10" t="s">
        <v>545</v>
      </c>
      <c r="E280" s="10" t="s">
        <v>546</v>
      </c>
      <c r="F280" s="10">
        <v>34.511683087800002</v>
      </c>
      <c r="G280" s="10">
        <v>44.543146705700003</v>
      </c>
      <c r="H280" s="11">
        <v>106</v>
      </c>
      <c r="I280" s="11">
        <v>636</v>
      </c>
      <c r="J280" s="11"/>
      <c r="K280" s="11"/>
      <c r="L280" s="11"/>
      <c r="M280" s="11"/>
      <c r="N280" s="11"/>
      <c r="O280" s="11"/>
      <c r="P280" s="11"/>
      <c r="Q280" s="11"/>
      <c r="R280" s="11">
        <v>106</v>
      </c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>
        <v>106</v>
      </c>
      <c r="AH280" s="11"/>
      <c r="AI280" s="11"/>
      <c r="AJ280" s="11"/>
      <c r="AK280" s="11"/>
      <c r="AL280" s="11"/>
      <c r="AM280" s="11"/>
      <c r="AN280" s="11">
        <v>106</v>
      </c>
      <c r="AO280" s="11"/>
      <c r="AP280" s="11"/>
      <c r="AQ280" s="11"/>
      <c r="AR280" s="11"/>
      <c r="AS280" s="11"/>
      <c r="AT280" s="11"/>
      <c r="AU280" s="20" t="str">
        <f>HYPERLINK("http://www.openstreetmap.org/?mlat=34.5117&amp;mlon=44.5431&amp;zoom=12#map=12/34.5117/44.5431","Maplink1")</f>
        <v>Maplink1</v>
      </c>
      <c r="AV280" s="20" t="str">
        <f>HYPERLINK("https://www.google.iq/maps/search/+34.5117,44.5431/@34.5117,44.5431,14z?hl=en","Maplink2")</f>
        <v>Maplink2</v>
      </c>
      <c r="AW280" s="20" t="str">
        <f>HYPERLINK("http://www.bing.com/maps/?lvl=14&amp;sty=h&amp;cp=34.5117~44.5431&amp;sp=point.34.5117_44.5431","Maplink3")</f>
        <v>Maplink3</v>
      </c>
    </row>
    <row r="281" spans="1:49" x14ac:dyDescent="0.25">
      <c r="A281" s="9">
        <v>27172</v>
      </c>
      <c r="B281" s="10" t="s">
        <v>13</v>
      </c>
      <c r="C281" s="10" t="s">
        <v>474</v>
      </c>
      <c r="D281" s="10" t="s">
        <v>547</v>
      </c>
      <c r="E281" s="10" t="s">
        <v>548</v>
      </c>
      <c r="F281" s="10">
        <v>34.092379982799997</v>
      </c>
      <c r="G281" s="10">
        <v>44.421695073400002</v>
      </c>
      <c r="H281" s="11">
        <v>15</v>
      </c>
      <c r="I281" s="11">
        <v>90</v>
      </c>
      <c r="J281" s="11"/>
      <c r="K281" s="11"/>
      <c r="L281" s="11"/>
      <c r="M281" s="11"/>
      <c r="N281" s="11"/>
      <c r="O281" s="11"/>
      <c r="P281" s="11"/>
      <c r="Q281" s="11"/>
      <c r="R281" s="11">
        <v>15</v>
      </c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>
        <v>15</v>
      </c>
      <c r="AE281" s="11"/>
      <c r="AF281" s="11"/>
      <c r="AG281" s="11"/>
      <c r="AH281" s="11"/>
      <c r="AI281" s="11"/>
      <c r="AJ281" s="11"/>
      <c r="AK281" s="11"/>
      <c r="AL281" s="11"/>
      <c r="AM281" s="11"/>
      <c r="AN281" s="11">
        <v>15</v>
      </c>
      <c r="AO281" s="11"/>
      <c r="AP281" s="11"/>
      <c r="AQ281" s="11"/>
      <c r="AR281" s="11"/>
      <c r="AS281" s="11"/>
      <c r="AT281" s="11"/>
      <c r="AU281" s="20" t="str">
        <f>HYPERLINK("http://www.openstreetmap.org/?mlat=34.0924&amp;mlon=44.4217&amp;zoom=12#map=12/34.0924/44.4217","Maplink1")</f>
        <v>Maplink1</v>
      </c>
      <c r="AV281" s="20" t="str">
        <f>HYPERLINK("https://www.google.iq/maps/search/+34.0924,44.4217/@34.0924,44.4217,14z?hl=en","Maplink2")</f>
        <v>Maplink2</v>
      </c>
      <c r="AW281" s="20" t="str">
        <f>HYPERLINK("http://www.bing.com/maps/?lvl=14&amp;sty=h&amp;cp=34.0924~44.4217&amp;sp=point.34.0924_44.4217","Maplink3")</f>
        <v>Maplink3</v>
      </c>
    </row>
    <row r="282" spans="1:49" x14ac:dyDescent="0.25">
      <c r="A282" s="9">
        <v>29616</v>
      </c>
      <c r="B282" s="10" t="s">
        <v>13</v>
      </c>
      <c r="C282" s="10" t="s">
        <v>474</v>
      </c>
      <c r="D282" s="10" t="s">
        <v>549</v>
      </c>
      <c r="E282" s="10" t="s">
        <v>550</v>
      </c>
      <c r="F282" s="10">
        <v>34.375960848699997</v>
      </c>
      <c r="G282" s="10">
        <v>44.543801564500001</v>
      </c>
      <c r="H282" s="11">
        <v>42</v>
      </c>
      <c r="I282" s="11">
        <v>252</v>
      </c>
      <c r="J282" s="11"/>
      <c r="K282" s="11"/>
      <c r="L282" s="11"/>
      <c r="M282" s="11"/>
      <c r="N282" s="11"/>
      <c r="O282" s="11"/>
      <c r="P282" s="11"/>
      <c r="Q282" s="11"/>
      <c r="R282" s="11">
        <v>42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>
        <v>42</v>
      </c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>
        <v>42</v>
      </c>
      <c r="AO282" s="11"/>
      <c r="AP282" s="11"/>
      <c r="AQ282" s="11"/>
      <c r="AR282" s="11"/>
      <c r="AS282" s="11"/>
      <c r="AT282" s="11"/>
      <c r="AU282" s="20" t="str">
        <f>HYPERLINK("http://www.openstreetmap.org/?mlat=34.376&amp;mlon=44.5438&amp;zoom=12#map=12/34.376/44.5438","Maplink1")</f>
        <v>Maplink1</v>
      </c>
      <c r="AV282" s="20" t="str">
        <f>HYPERLINK("https://www.google.iq/maps/search/+34.376,44.5438/@34.376,44.5438,14z?hl=en","Maplink2")</f>
        <v>Maplink2</v>
      </c>
      <c r="AW282" s="20" t="str">
        <f>HYPERLINK("http://www.bing.com/maps/?lvl=14&amp;sty=h&amp;cp=34.376~44.5438&amp;sp=point.34.376_44.5438","Maplink3")</f>
        <v>Maplink3</v>
      </c>
    </row>
    <row r="283" spans="1:49" x14ac:dyDescent="0.25">
      <c r="A283" s="9">
        <v>28466</v>
      </c>
      <c r="B283" s="10" t="s">
        <v>13</v>
      </c>
      <c r="C283" s="10" t="s">
        <v>474</v>
      </c>
      <c r="D283" s="10" t="s">
        <v>551</v>
      </c>
      <c r="E283" s="10" t="s">
        <v>552</v>
      </c>
      <c r="F283" s="10">
        <v>34.364307144500003</v>
      </c>
      <c r="G283" s="10">
        <v>44.560048106399996</v>
      </c>
      <c r="H283" s="11">
        <v>22</v>
      </c>
      <c r="I283" s="11">
        <v>132</v>
      </c>
      <c r="J283" s="11"/>
      <c r="K283" s="11"/>
      <c r="L283" s="11"/>
      <c r="M283" s="11"/>
      <c r="N283" s="11"/>
      <c r="O283" s="11">
        <v>22</v>
      </c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>
        <v>22</v>
      </c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>
        <v>22</v>
      </c>
      <c r="AO283" s="11"/>
      <c r="AP283" s="11"/>
      <c r="AQ283" s="11"/>
      <c r="AR283" s="11"/>
      <c r="AS283" s="11"/>
      <c r="AT283" s="11"/>
      <c r="AU283" s="20" t="str">
        <f>HYPERLINK("http://www.openstreetmap.org/?mlat=34.3643&amp;mlon=44.56&amp;zoom=12#map=12/34.3643/44.56","Maplink1")</f>
        <v>Maplink1</v>
      </c>
      <c r="AV283" s="20" t="str">
        <f>HYPERLINK("https://www.google.iq/maps/search/+34.3643,44.56/@34.3643,44.56,14z?hl=en","Maplink2")</f>
        <v>Maplink2</v>
      </c>
      <c r="AW283" s="20" t="str">
        <f>HYPERLINK("http://www.bing.com/maps/?lvl=14&amp;sty=h&amp;cp=34.3643~44.56&amp;sp=point.34.3643_44.56","Maplink3")</f>
        <v>Maplink3</v>
      </c>
    </row>
    <row r="284" spans="1:49" x14ac:dyDescent="0.25">
      <c r="A284" s="9">
        <v>28468</v>
      </c>
      <c r="B284" s="10" t="s">
        <v>13</v>
      </c>
      <c r="C284" s="10" t="s">
        <v>474</v>
      </c>
      <c r="D284" s="10" t="s">
        <v>553</v>
      </c>
      <c r="E284" s="10" t="s">
        <v>554</v>
      </c>
      <c r="F284" s="10">
        <v>34.288540455899998</v>
      </c>
      <c r="G284" s="10">
        <v>44.537187428599999</v>
      </c>
      <c r="H284" s="11">
        <v>31</v>
      </c>
      <c r="I284" s="11">
        <v>186</v>
      </c>
      <c r="J284" s="11"/>
      <c r="K284" s="11"/>
      <c r="L284" s="11"/>
      <c r="M284" s="11"/>
      <c r="N284" s="11"/>
      <c r="O284" s="11">
        <v>31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>
        <v>31</v>
      </c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>
        <v>31</v>
      </c>
      <c r="AO284" s="11"/>
      <c r="AP284" s="11"/>
      <c r="AQ284" s="11"/>
      <c r="AR284" s="11"/>
      <c r="AS284" s="11"/>
      <c r="AT284" s="11"/>
      <c r="AU284" s="20" t="str">
        <f>HYPERLINK("http://www.openstreetmap.org/?mlat=34.2885&amp;mlon=44.5372&amp;zoom=12#map=12/34.2885/44.5372","Maplink1")</f>
        <v>Maplink1</v>
      </c>
      <c r="AV284" s="20" t="str">
        <f>HYPERLINK("https://www.google.iq/maps/search/+34.2885,44.5372/@34.2885,44.5372,14z?hl=en","Maplink2")</f>
        <v>Maplink2</v>
      </c>
      <c r="AW284" s="20" t="str">
        <f>HYPERLINK("http://www.bing.com/maps/?lvl=14&amp;sty=h&amp;cp=34.2885~44.5372&amp;sp=point.34.2885_44.5372","Maplink3")</f>
        <v>Maplink3</v>
      </c>
    </row>
    <row r="285" spans="1:49" x14ac:dyDescent="0.25">
      <c r="A285" s="9">
        <v>28464</v>
      </c>
      <c r="B285" s="10" t="s">
        <v>13</v>
      </c>
      <c r="C285" s="10" t="s">
        <v>474</v>
      </c>
      <c r="D285" s="10" t="s">
        <v>555</v>
      </c>
      <c r="E285" s="10" t="s">
        <v>556</v>
      </c>
      <c r="F285" s="10">
        <v>34.242244960000001</v>
      </c>
      <c r="G285" s="10">
        <v>44.190843000000001</v>
      </c>
      <c r="H285" s="11">
        <v>38</v>
      </c>
      <c r="I285" s="11">
        <v>228</v>
      </c>
      <c r="J285" s="11"/>
      <c r="K285" s="11"/>
      <c r="L285" s="11"/>
      <c r="M285" s="11"/>
      <c r="N285" s="11"/>
      <c r="O285" s="11">
        <v>38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>
        <v>38</v>
      </c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>
        <v>38</v>
      </c>
      <c r="AO285" s="11"/>
      <c r="AP285" s="11"/>
      <c r="AQ285" s="11"/>
      <c r="AR285" s="11"/>
      <c r="AS285" s="11"/>
      <c r="AT285" s="11"/>
      <c r="AU285" s="20" t="str">
        <f>HYPERLINK("http://www.openstreetmap.org/?mlat=34.2422&amp;mlon=44.1908&amp;zoom=12#map=12/34.2422/44.1908","Maplink1")</f>
        <v>Maplink1</v>
      </c>
      <c r="AV285" s="20" t="str">
        <f>HYPERLINK("https://www.google.iq/maps/search/+34.2422,44.1908/@34.2422,44.1908,14z?hl=en","Maplink2")</f>
        <v>Maplink2</v>
      </c>
      <c r="AW285" s="20" t="str">
        <f>HYPERLINK("http://www.bing.com/maps/?lvl=14&amp;sty=h&amp;cp=34.2422~44.1908&amp;sp=point.34.2422_44.1908","Maplink3")</f>
        <v>Maplink3</v>
      </c>
    </row>
    <row r="286" spans="1:49" x14ac:dyDescent="0.25">
      <c r="A286" s="9">
        <v>27174</v>
      </c>
      <c r="B286" s="10" t="s">
        <v>13</v>
      </c>
      <c r="C286" s="10" t="s">
        <v>474</v>
      </c>
      <c r="D286" s="10" t="s">
        <v>557</v>
      </c>
      <c r="E286" s="10" t="s">
        <v>558</v>
      </c>
      <c r="F286" s="10">
        <v>34.040211939999999</v>
      </c>
      <c r="G286" s="10">
        <v>44.371946549999997</v>
      </c>
      <c r="H286" s="11">
        <v>140</v>
      </c>
      <c r="I286" s="11">
        <v>840</v>
      </c>
      <c r="J286" s="11"/>
      <c r="K286" s="11"/>
      <c r="L286" s="11"/>
      <c r="M286" s="11"/>
      <c r="N286" s="11"/>
      <c r="O286" s="11"/>
      <c r="P286" s="11"/>
      <c r="Q286" s="11"/>
      <c r="R286" s="11">
        <v>140</v>
      </c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>
        <v>140</v>
      </c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>
        <v>140</v>
      </c>
      <c r="AO286" s="11"/>
      <c r="AP286" s="11"/>
      <c r="AQ286" s="11"/>
      <c r="AR286" s="11"/>
      <c r="AS286" s="11"/>
      <c r="AT286" s="11"/>
      <c r="AU286" s="20" t="str">
        <f>HYPERLINK("http://www.openstreetmap.org/?mlat=34.0402&amp;mlon=44.3719&amp;zoom=12#map=12/34.0402/44.3719","Maplink1")</f>
        <v>Maplink1</v>
      </c>
      <c r="AV286" s="20" t="str">
        <f>HYPERLINK("https://www.google.iq/maps/search/+34.0402,44.3719/@34.0402,44.3719,14z?hl=en","Maplink2")</f>
        <v>Maplink2</v>
      </c>
      <c r="AW286" s="20" t="str">
        <f>HYPERLINK("http://www.bing.com/maps/?lvl=14&amp;sty=h&amp;cp=34.0402~44.3719&amp;sp=point.34.0402_44.3719","Maplink3")</f>
        <v>Maplink3</v>
      </c>
    </row>
    <row r="287" spans="1:49" x14ac:dyDescent="0.25">
      <c r="A287" s="9">
        <v>27157</v>
      </c>
      <c r="B287" s="10" t="s">
        <v>13</v>
      </c>
      <c r="C287" s="10" t="s">
        <v>474</v>
      </c>
      <c r="D287" s="10" t="s">
        <v>559</v>
      </c>
      <c r="E287" s="10" t="s">
        <v>560</v>
      </c>
      <c r="F287" s="10">
        <v>34.23302623</v>
      </c>
      <c r="G287" s="10">
        <v>44.527980419999999</v>
      </c>
      <c r="H287" s="11">
        <v>17</v>
      </c>
      <c r="I287" s="11">
        <v>102</v>
      </c>
      <c r="J287" s="11"/>
      <c r="K287" s="11"/>
      <c r="L287" s="11"/>
      <c r="M287" s="11"/>
      <c r="N287" s="11"/>
      <c r="O287" s="11"/>
      <c r="P287" s="11"/>
      <c r="Q287" s="11"/>
      <c r="R287" s="11">
        <v>17</v>
      </c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>
        <v>17</v>
      </c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>
        <v>17</v>
      </c>
      <c r="AO287" s="11"/>
      <c r="AP287" s="11"/>
      <c r="AQ287" s="11"/>
      <c r="AR287" s="11"/>
      <c r="AS287" s="11"/>
      <c r="AT287" s="11"/>
      <c r="AU287" s="20" t="str">
        <f>HYPERLINK("http://www.openstreetmap.org/?mlat=34.233&amp;mlon=44.528&amp;zoom=12#map=12/34.233/44.528","Maplink1")</f>
        <v>Maplink1</v>
      </c>
      <c r="AV287" s="20" t="str">
        <f>HYPERLINK("https://www.google.iq/maps/search/+34.233,44.528/@34.233,44.528,14z?hl=en","Maplink2")</f>
        <v>Maplink2</v>
      </c>
      <c r="AW287" s="20" t="str">
        <f>HYPERLINK("http://www.bing.com/maps/?lvl=14&amp;sty=h&amp;cp=34.233~44.528&amp;sp=point.34.233_44.528","Maplink3")</f>
        <v>Maplink3</v>
      </c>
    </row>
    <row r="288" spans="1:49" x14ac:dyDescent="0.25">
      <c r="A288" s="9">
        <v>27183</v>
      </c>
      <c r="B288" s="10" t="s">
        <v>13</v>
      </c>
      <c r="C288" s="10" t="s">
        <v>474</v>
      </c>
      <c r="D288" s="10" t="s">
        <v>561</v>
      </c>
      <c r="E288" s="10" t="s">
        <v>562</v>
      </c>
      <c r="F288" s="10">
        <v>34.216574970000003</v>
      </c>
      <c r="G288" s="10">
        <v>44.520291380000003</v>
      </c>
      <c r="H288" s="11">
        <v>17</v>
      </c>
      <c r="I288" s="11">
        <v>102</v>
      </c>
      <c r="J288" s="11"/>
      <c r="K288" s="11"/>
      <c r="L288" s="11"/>
      <c r="M288" s="11"/>
      <c r="N288" s="11"/>
      <c r="O288" s="11"/>
      <c r="P288" s="11"/>
      <c r="Q288" s="11"/>
      <c r="R288" s="11">
        <v>17</v>
      </c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>
        <v>17</v>
      </c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>
        <v>17</v>
      </c>
      <c r="AO288" s="11"/>
      <c r="AP288" s="11"/>
      <c r="AQ288" s="11"/>
      <c r="AR288" s="11"/>
      <c r="AS288" s="11"/>
      <c r="AT288" s="11"/>
      <c r="AU288" s="20" t="str">
        <f>HYPERLINK("http://www.openstreetmap.org/?mlat=34.2166&amp;mlon=44.5203&amp;zoom=12#map=12/34.2166/44.5203","Maplink1")</f>
        <v>Maplink1</v>
      </c>
      <c r="AV288" s="20" t="str">
        <f>HYPERLINK("https://www.google.iq/maps/search/+34.2166,44.5203/@34.2166,44.5203,14z?hl=en","Maplink2")</f>
        <v>Maplink2</v>
      </c>
      <c r="AW288" s="20" t="str">
        <f>HYPERLINK("http://www.bing.com/maps/?lvl=14&amp;sty=h&amp;cp=34.2166~44.5203&amp;sp=point.34.2166_44.5203","Maplink3")</f>
        <v>Maplink3</v>
      </c>
    </row>
    <row r="289" spans="1:49" x14ac:dyDescent="0.25">
      <c r="A289" s="9">
        <v>23498</v>
      </c>
      <c r="B289" s="10" t="s">
        <v>13</v>
      </c>
      <c r="C289" s="10" t="s">
        <v>474</v>
      </c>
      <c r="D289" s="10" t="s">
        <v>563</v>
      </c>
      <c r="E289" s="10" t="s">
        <v>564</v>
      </c>
      <c r="F289" s="10">
        <v>34.369897220799999</v>
      </c>
      <c r="G289" s="10">
        <v>44.605070463099999</v>
      </c>
      <c r="H289" s="11">
        <v>10</v>
      </c>
      <c r="I289" s="11">
        <v>60</v>
      </c>
      <c r="J289" s="11"/>
      <c r="K289" s="11"/>
      <c r="L289" s="11"/>
      <c r="M289" s="11"/>
      <c r="N289" s="11"/>
      <c r="O289" s="11"/>
      <c r="P289" s="11"/>
      <c r="Q289" s="11"/>
      <c r="R289" s="11">
        <v>10</v>
      </c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>
        <v>10</v>
      </c>
      <c r="AE289" s="11"/>
      <c r="AF289" s="11"/>
      <c r="AG289" s="11"/>
      <c r="AH289" s="11"/>
      <c r="AI289" s="11"/>
      <c r="AJ289" s="11"/>
      <c r="AK289" s="11"/>
      <c r="AL289" s="11"/>
      <c r="AM289" s="11"/>
      <c r="AN289" s="11">
        <v>10</v>
      </c>
      <c r="AO289" s="11"/>
      <c r="AP289" s="11"/>
      <c r="AQ289" s="11"/>
      <c r="AR289" s="11"/>
      <c r="AS289" s="11"/>
      <c r="AT289" s="11"/>
      <c r="AU289" s="20" t="str">
        <f>HYPERLINK("http://www.openstreetmap.org/?mlat=34.3699&amp;mlon=44.6051&amp;zoom=12#map=12/34.3699/44.6051","Maplink1")</f>
        <v>Maplink1</v>
      </c>
      <c r="AV289" s="20" t="str">
        <f>HYPERLINK("https://www.google.iq/maps/search/+34.3699,44.6051/@34.3699,44.6051,14z?hl=en","Maplink2")</f>
        <v>Maplink2</v>
      </c>
      <c r="AW289" s="20" t="str">
        <f>HYPERLINK("http://www.bing.com/maps/?lvl=14&amp;sty=h&amp;cp=34.3699~44.6051&amp;sp=point.34.3699_44.6051","Maplink3")</f>
        <v>Maplink3</v>
      </c>
    </row>
    <row r="290" spans="1:49" x14ac:dyDescent="0.25">
      <c r="A290" s="9">
        <v>25681</v>
      </c>
      <c r="B290" s="10" t="s">
        <v>13</v>
      </c>
      <c r="C290" s="10" t="s">
        <v>474</v>
      </c>
      <c r="D290" s="10" t="s">
        <v>1836</v>
      </c>
      <c r="E290" s="10" t="s">
        <v>565</v>
      </c>
      <c r="F290" s="10">
        <v>34.125384133899999</v>
      </c>
      <c r="G290" s="10">
        <v>44.843834078299999</v>
      </c>
      <c r="H290" s="11">
        <v>12</v>
      </c>
      <c r="I290" s="11">
        <v>72</v>
      </c>
      <c r="J290" s="11"/>
      <c r="K290" s="11"/>
      <c r="L290" s="11"/>
      <c r="M290" s="11"/>
      <c r="N290" s="11"/>
      <c r="O290" s="11">
        <v>10</v>
      </c>
      <c r="P290" s="11"/>
      <c r="Q290" s="11"/>
      <c r="R290" s="11">
        <v>2</v>
      </c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>
        <v>12</v>
      </c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>
        <v>12</v>
      </c>
      <c r="AQ290" s="11"/>
      <c r="AR290" s="11"/>
      <c r="AS290" s="11"/>
      <c r="AT290" s="11"/>
      <c r="AU290" s="20" t="str">
        <f>HYPERLINK("http://www.openstreetmap.org/?mlat=34.1254&amp;mlon=44.8438&amp;zoom=12#map=12/34.1254/44.8438","Maplink1")</f>
        <v>Maplink1</v>
      </c>
      <c r="AV290" s="20" t="str">
        <f>HYPERLINK("https://www.google.iq/maps/search/+34.1254,44.8438/@34.1254,44.8438,14z?hl=en","Maplink2")</f>
        <v>Maplink2</v>
      </c>
      <c r="AW290" s="20" t="str">
        <f>HYPERLINK("http://www.bing.com/maps/?lvl=14&amp;sty=h&amp;cp=34.1254~44.8438&amp;sp=point.34.1254_44.8438","Maplink3")</f>
        <v>Maplink3</v>
      </c>
    </row>
    <row r="291" spans="1:49" x14ac:dyDescent="0.25">
      <c r="A291" s="9">
        <v>25680</v>
      </c>
      <c r="B291" s="10" t="s">
        <v>13</v>
      </c>
      <c r="C291" s="10" t="s">
        <v>474</v>
      </c>
      <c r="D291" s="10" t="s">
        <v>566</v>
      </c>
      <c r="E291" s="10" t="s">
        <v>567</v>
      </c>
      <c r="F291" s="10">
        <v>34.023652210000002</v>
      </c>
      <c r="G291" s="10">
        <v>44.865479260000001</v>
      </c>
      <c r="H291" s="11">
        <v>100</v>
      </c>
      <c r="I291" s="11">
        <v>600</v>
      </c>
      <c r="J291" s="11"/>
      <c r="K291" s="11"/>
      <c r="L291" s="11"/>
      <c r="M291" s="11"/>
      <c r="N291" s="11"/>
      <c r="O291" s="11">
        <v>82</v>
      </c>
      <c r="P291" s="11"/>
      <c r="Q291" s="11"/>
      <c r="R291" s="11">
        <v>9</v>
      </c>
      <c r="S291" s="11"/>
      <c r="T291" s="11"/>
      <c r="U291" s="11"/>
      <c r="V291" s="11"/>
      <c r="W291" s="11"/>
      <c r="X291" s="11"/>
      <c r="Y291" s="11">
        <v>9</v>
      </c>
      <c r="Z291" s="11"/>
      <c r="AA291" s="11"/>
      <c r="AB291" s="11"/>
      <c r="AC291" s="11">
        <v>100</v>
      </c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>
        <v>100</v>
      </c>
      <c r="AQ291" s="11"/>
      <c r="AR291" s="11"/>
      <c r="AS291" s="11"/>
      <c r="AT291" s="11"/>
      <c r="AU291" s="20" t="str">
        <f>HYPERLINK("http://www.openstreetmap.org/?mlat=34.0237&amp;mlon=44.8655&amp;zoom=12#map=12/34.0237/44.8655","Maplink1")</f>
        <v>Maplink1</v>
      </c>
      <c r="AV291" s="20" t="str">
        <f>HYPERLINK("https://www.google.iq/maps/search/+34.0237,44.8655/@34.0237,44.8655,14z?hl=en","Maplink2")</f>
        <v>Maplink2</v>
      </c>
      <c r="AW291" s="20" t="str">
        <f>HYPERLINK("http://www.bing.com/maps/?lvl=14&amp;sty=h&amp;cp=34.0237~44.8655&amp;sp=point.34.0237_44.8655","Maplink3")</f>
        <v>Maplink3</v>
      </c>
    </row>
    <row r="292" spans="1:49" x14ac:dyDescent="0.25">
      <c r="A292" s="9">
        <v>26074</v>
      </c>
      <c r="B292" s="10" t="s">
        <v>13</v>
      </c>
      <c r="C292" s="10" t="s">
        <v>474</v>
      </c>
      <c r="D292" s="10" t="s">
        <v>568</v>
      </c>
      <c r="E292" s="10" t="s">
        <v>569</v>
      </c>
      <c r="F292" s="10">
        <v>34.125865169299999</v>
      </c>
      <c r="G292" s="10">
        <v>44.869606619300001</v>
      </c>
      <c r="H292" s="11">
        <v>135</v>
      </c>
      <c r="I292" s="11">
        <v>810</v>
      </c>
      <c r="J292" s="11"/>
      <c r="K292" s="11"/>
      <c r="L292" s="11"/>
      <c r="M292" s="11"/>
      <c r="N292" s="11"/>
      <c r="O292" s="11">
        <v>135</v>
      </c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>
        <v>135</v>
      </c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>
        <v>135</v>
      </c>
      <c r="AO292" s="11"/>
      <c r="AP292" s="11"/>
      <c r="AQ292" s="11"/>
      <c r="AR292" s="11"/>
      <c r="AS292" s="11"/>
      <c r="AT292" s="11"/>
      <c r="AU292" s="20" t="str">
        <f>HYPERLINK("http://www.openstreetmap.org/?mlat=34.1259&amp;mlon=44.8696&amp;zoom=12#map=12/34.1259/44.8696","Maplink1")</f>
        <v>Maplink1</v>
      </c>
      <c r="AV292" s="20" t="str">
        <f>HYPERLINK("https://www.google.iq/maps/search/+34.1259,44.8696/@34.1259,44.8696,14z?hl=en","Maplink2")</f>
        <v>Maplink2</v>
      </c>
      <c r="AW292" s="20" t="str">
        <f>HYPERLINK("http://www.bing.com/maps/?lvl=14&amp;sty=h&amp;cp=34.1259~44.8696&amp;sp=point.34.1259_44.8696","Maplink3")</f>
        <v>Maplink3</v>
      </c>
    </row>
    <row r="293" spans="1:49" x14ac:dyDescent="0.25">
      <c r="A293" s="9">
        <v>26055</v>
      </c>
      <c r="B293" s="10" t="s">
        <v>13</v>
      </c>
      <c r="C293" s="10" t="s">
        <v>474</v>
      </c>
      <c r="D293" s="10" t="s">
        <v>570</v>
      </c>
      <c r="E293" s="10" t="s">
        <v>571</v>
      </c>
      <c r="F293" s="10">
        <v>34.133398370199998</v>
      </c>
      <c r="G293" s="10">
        <v>44.8601511548</v>
      </c>
      <c r="H293" s="11">
        <v>95</v>
      </c>
      <c r="I293" s="11">
        <v>570</v>
      </c>
      <c r="J293" s="11"/>
      <c r="K293" s="11"/>
      <c r="L293" s="11"/>
      <c r="M293" s="11"/>
      <c r="N293" s="11"/>
      <c r="O293" s="11">
        <v>95</v>
      </c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>
        <v>95</v>
      </c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>
        <v>95</v>
      </c>
      <c r="AO293" s="11"/>
      <c r="AP293" s="11"/>
      <c r="AQ293" s="11"/>
      <c r="AR293" s="11"/>
      <c r="AS293" s="11"/>
      <c r="AT293" s="11"/>
      <c r="AU293" s="20" t="str">
        <f>HYPERLINK("http://www.openstreetmap.org/?mlat=34.1334&amp;mlon=44.8602&amp;zoom=12#map=12/34.1334/44.8602","Maplink1")</f>
        <v>Maplink1</v>
      </c>
      <c r="AV293" s="20" t="str">
        <f>HYPERLINK("https://www.google.iq/maps/search/+34.1334,44.8602/@34.1334,44.8602,14z?hl=en","Maplink2")</f>
        <v>Maplink2</v>
      </c>
      <c r="AW293" s="20" t="str">
        <f>HYPERLINK("http://www.bing.com/maps/?lvl=14&amp;sty=h&amp;cp=34.1334~44.8602&amp;sp=point.34.1334_44.8602","Maplink3")</f>
        <v>Maplink3</v>
      </c>
    </row>
    <row r="294" spans="1:49" x14ac:dyDescent="0.25">
      <c r="A294" s="9">
        <v>28465</v>
      </c>
      <c r="B294" s="10" t="s">
        <v>13</v>
      </c>
      <c r="C294" s="10" t="s">
        <v>474</v>
      </c>
      <c r="D294" s="10" t="s">
        <v>572</v>
      </c>
      <c r="E294" s="10" t="s">
        <v>573</v>
      </c>
      <c r="F294" s="10">
        <v>34.309219121300004</v>
      </c>
      <c r="G294" s="10">
        <v>44.561925708399997</v>
      </c>
      <c r="H294" s="11">
        <v>17</v>
      </c>
      <c r="I294" s="11">
        <v>102</v>
      </c>
      <c r="J294" s="11"/>
      <c r="K294" s="11"/>
      <c r="L294" s="11"/>
      <c r="M294" s="11"/>
      <c r="N294" s="11"/>
      <c r="O294" s="11">
        <v>17</v>
      </c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>
        <v>17</v>
      </c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>
        <v>17</v>
      </c>
      <c r="AO294" s="11"/>
      <c r="AP294" s="11"/>
      <c r="AQ294" s="11"/>
      <c r="AR294" s="11"/>
      <c r="AS294" s="11"/>
      <c r="AT294" s="11"/>
      <c r="AU294" s="20" t="str">
        <f>HYPERLINK("http://www.openstreetmap.org/?mlat=34.3092&amp;mlon=44.5619&amp;zoom=12#map=12/34.3092/44.5619","Maplink1")</f>
        <v>Maplink1</v>
      </c>
      <c r="AV294" s="20" t="str">
        <f>HYPERLINK("https://www.google.iq/maps/search/+34.3092,44.5619/@34.3092,44.5619,14z?hl=en","Maplink2")</f>
        <v>Maplink2</v>
      </c>
      <c r="AW294" s="20" t="str">
        <f>HYPERLINK("http://www.bing.com/maps/?lvl=14&amp;sty=h&amp;cp=34.3092~44.5619&amp;sp=point.34.3092_44.5619","Maplink3")</f>
        <v>Maplink3</v>
      </c>
    </row>
    <row r="295" spans="1:49" x14ac:dyDescent="0.25">
      <c r="A295" s="9">
        <v>28446</v>
      </c>
      <c r="B295" s="10" t="s">
        <v>13</v>
      </c>
      <c r="C295" s="10" t="s">
        <v>474</v>
      </c>
      <c r="D295" s="10" t="s">
        <v>574</v>
      </c>
      <c r="E295" s="10" t="s">
        <v>575</v>
      </c>
      <c r="F295" s="10">
        <v>34.270393769999998</v>
      </c>
      <c r="G295" s="10">
        <v>44.533716560000002</v>
      </c>
      <c r="H295" s="11">
        <v>17</v>
      </c>
      <c r="I295" s="11">
        <v>102</v>
      </c>
      <c r="J295" s="11"/>
      <c r="K295" s="11"/>
      <c r="L295" s="11"/>
      <c r="M295" s="11"/>
      <c r="N295" s="11"/>
      <c r="O295" s="11">
        <v>17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>
        <v>17</v>
      </c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>
        <v>17</v>
      </c>
      <c r="AO295" s="11"/>
      <c r="AP295" s="11"/>
      <c r="AQ295" s="11"/>
      <c r="AR295" s="11"/>
      <c r="AS295" s="11"/>
      <c r="AT295" s="11"/>
      <c r="AU295" s="20" t="str">
        <f>HYPERLINK("http://www.openstreetmap.org/?mlat=34.2704&amp;mlon=44.5337&amp;zoom=12#map=12/34.2704/44.5337","Maplink1")</f>
        <v>Maplink1</v>
      </c>
      <c r="AV295" s="20" t="str">
        <f>HYPERLINK("https://www.google.iq/maps/search/+34.2704,44.5337/@34.2704,44.5337,14z?hl=en","Maplink2")</f>
        <v>Maplink2</v>
      </c>
      <c r="AW295" s="20" t="str">
        <f>HYPERLINK("http://www.bing.com/maps/?lvl=14&amp;sty=h&amp;cp=34.2704~44.5337&amp;sp=point.34.2704_44.5337","Maplink3")</f>
        <v>Maplink3</v>
      </c>
    </row>
    <row r="296" spans="1:49" x14ac:dyDescent="0.25">
      <c r="A296" s="9">
        <v>25670</v>
      </c>
      <c r="B296" s="10" t="s">
        <v>13</v>
      </c>
      <c r="C296" s="10" t="s">
        <v>474</v>
      </c>
      <c r="D296" s="10" t="s">
        <v>576</v>
      </c>
      <c r="E296" s="10" t="s">
        <v>577</v>
      </c>
      <c r="F296" s="10">
        <v>34.075144657899997</v>
      </c>
      <c r="G296" s="10">
        <v>44.7786285436</v>
      </c>
      <c r="H296" s="11">
        <v>57</v>
      </c>
      <c r="I296" s="11">
        <v>342</v>
      </c>
      <c r="J296" s="11"/>
      <c r="K296" s="11"/>
      <c r="L296" s="11"/>
      <c r="M296" s="11"/>
      <c r="N296" s="11"/>
      <c r="O296" s="11">
        <v>57</v>
      </c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>
        <v>57</v>
      </c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>
        <v>57</v>
      </c>
      <c r="AO296" s="11"/>
      <c r="AP296" s="11"/>
      <c r="AQ296" s="11"/>
      <c r="AR296" s="11"/>
      <c r="AS296" s="11"/>
      <c r="AT296" s="11"/>
      <c r="AU296" s="20" t="str">
        <f>HYPERLINK("http://www.openstreetmap.org/?mlat=34.0751&amp;mlon=44.7786&amp;zoom=12#map=12/34.0751/44.7786","Maplink1")</f>
        <v>Maplink1</v>
      </c>
      <c r="AV296" s="20" t="str">
        <f>HYPERLINK("https://www.google.iq/maps/search/+34.0751,44.7786/@34.0751,44.7786,14z?hl=en","Maplink2")</f>
        <v>Maplink2</v>
      </c>
      <c r="AW296" s="20" t="str">
        <f>HYPERLINK("http://www.bing.com/maps/?lvl=14&amp;sty=h&amp;cp=34.0751~44.7786&amp;sp=point.34.0751_44.7786","Maplink3")</f>
        <v>Maplink3</v>
      </c>
    </row>
    <row r="297" spans="1:49" x14ac:dyDescent="0.25">
      <c r="A297" s="9">
        <v>25671</v>
      </c>
      <c r="B297" s="10" t="s">
        <v>13</v>
      </c>
      <c r="C297" s="10" t="s">
        <v>474</v>
      </c>
      <c r="D297" s="10" t="s">
        <v>578</v>
      </c>
      <c r="E297" s="10" t="s">
        <v>579</v>
      </c>
      <c r="F297" s="10">
        <v>34.040577999999996</v>
      </c>
      <c r="G297" s="10">
        <v>44.881273</v>
      </c>
      <c r="H297" s="11">
        <v>272</v>
      </c>
      <c r="I297" s="11">
        <v>1632</v>
      </c>
      <c r="J297" s="11"/>
      <c r="K297" s="11"/>
      <c r="L297" s="11"/>
      <c r="M297" s="11"/>
      <c r="N297" s="11"/>
      <c r="O297" s="11">
        <v>184</v>
      </c>
      <c r="P297" s="11"/>
      <c r="Q297" s="11"/>
      <c r="R297" s="11">
        <v>38</v>
      </c>
      <c r="S297" s="11"/>
      <c r="T297" s="11"/>
      <c r="U297" s="11"/>
      <c r="V297" s="11"/>
      <c r="W297" s="11"/>
      <c r="X297" s="11"/>
      <c r="Y297" s="11">
        <v>50</v>
      </c>
      <c r="Z297" s="11"/>
      <c r="AA297" s="11"/>
      <c r="AB297" s="11"/>
      <c r="AC297" s="11">
        <v>272</v>
      </c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>
        <v>272</v>
      </c>
      <c r="AQ297" s="11"/>
      <c r="AR297" s="11"/>
      <c r="AS297" s="11"/>
      <c r="AT297" s="11"/>
      <c r="AU297" s="20" t="str">
        <f>HYPERLINK("http://www.openstreetmap.org/?mlat=34.0406&amp;mlon=44.8813&amp;zoom=12#map=12/34.0406/44.8813","Maplink1")</f>
        <v>Maplink1</v>
      </c>
      <c r="AV297" s="20" t="str">
        <f>HYPERLINK("https://www.google.iq/maps/search/+34.0406,44.8813/@34.0406,44.8813,14z?hl=en","Maplink2")</f>
        <v>Maplink2</v>
      </c>
      <c r="AW297" s="20" t="str">
        <f>HYPERLINK("http://www.bing.com/maps/?lvl=14&amp;sty=h&amp;cp=34.0406~44.8813&amp;sp=point.34.0406_44.8813","Maplink3")</f>
        <v>Maplink3</v>
      </c>
    </row>
    <row r="298" spans="1:49" x14ac:dyDescent="0.25">
      <c r="A298" s="9">
        <v>27162</v>
      </c>
      <c r="B298" s="10" t="s">
        <v>13</v>
      </c>
      <c r="C298" s="10" t="s">
        <v>474</v>
      </c>
      <c r="D298" s="10" t="s">
        <v>580</v>
      </c>
      <c r="E298" s="10" t="s">
        <v>581</v>
      </c>
      <c r="F298" s="10">
        <v>34.324599319999997</v>
      </c>
      <c r="G298" s="10">
        <v>44.744052719999999</v>
      </c>
      <c r="H298" s="11">
        <v>120</v>
      </c>
      <c r="I298" s="11">
        <v>720</v>
      </c>
      <c r="J298" s="11"/>
      <c r="K298" s="11"/>
      <c r="L298" s="11"/>
      <c r="M298" s="11"/>
      <c r="N298" s="11"/>
      <c r="O298" s="11"/>
      <c r="P298" s="11"/>
      <c r="Q298" s="11"/>
      <c r="R298" s="11">
        <v>120</v>
      </c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>
        <v>120</v>
      </c>
      <c r="AE298" s="11"/>
      <c r="AF298" s="11"/>
      <c r="AG298" s="11"/>
      <c r="AH298" s="11"/>
      <c r="AI298" s="11"/>
      <c r="AJ298" s="11"/>
      <c r="AK298" s="11"/>
      <c r="AL298" s="11"/>
      <c r="AM298" s="11"/>
      <c r="AN298" s="11">
        <v>120</v>
      </c>
      <c r="AO298" s="11"/>
      <c r="AP298" s="11"/>
      <c r="AQ298" s="11"/>
      <c r="AR298" s="11"/>
      <c r="AS298" s="11"/>
      <c r="AT298" s="11"/>
      <c r="AU298" s="20" t="str">
        <f>HYPERLINK("http://www.openstreetmap.org/?mlat=34.3246&amp;mlon=44.7441&amp;zoom=12#map=12/34.3246/44.7441","Maplink1")</f>
        <v>Maplink1</v>
      </c>
      <c r="AV298" s="20" t="str">
        <f>HYPERLINK("https://www.google.iq/maps/search/+34.3246,44.7441/@34.3246,44.7441,14z?hl=en","Maplink2")</f>
        <v>Maplink2</v>
      </c>
      <c r="AW298" s="20" t="str">
        <f>HYPERLINK("http://www.bing.com/maps/?lvl=14&amp;sty=h&amp;cp=34.3246~44.7441&amp;sp=point.34.3246_44.7441","Maplink3")</f>
        <v>Maplink3</v>
      </c>
    </row>
    <row r="299" spans="1:49" x14ac:dyDescent="0.25">
      <c r="A299" s="9">
        <v>25651</v>
      </c>
      <c r="B299" s="10" t="s">
        <v>13</v>
      </c>
      <c r="C299" s="10" t="s">
        <v>474</v>
      </c>
      <c r="D299" s="10" t="s">
        <v>582</v>
      </c>
      <c r="E299" s="10" t="s">
        <v>583</v>
      </c>
      <c r="F299" s="10">
        <v>34.073397</v>
      </c>
      <c r="G299" s="10">
        <v>44.8639966</v>
      </c>
      <c r="H299" s="11">
        <v>433</v>
      </c>
      <c r="I299" s="11">
        <v>2598</v>
      </c>
      <c r="J299" s="11"/>
      <c r="K299" s="11"/>
      <c r="L299" s="11"/>
      <c r="M299" s="11"/>
      <c r="N299" s="11"/>
      <c r="O299" s="11">
        <v>333</v>
      </c>
      <c r="P299" s="11"/>
      <c r="Q299" s="11"/>
      <c r="R299" s="11">
        <v>45</v>
      </c>
      <c r="S299" s="11"/>
      <c r="T299" s="11"/>
      <c r="U299" s="11"/>
      <c r="V299" s="11"/>
      <c r="W299" s="11"/>
      <c r="X299" s="11"/>
      <c r="Y299" s="11">
        <v>55</v>
      </c>
      <c r="Z299" s="11"/>
      <c r="AA299" s="11"/>
      <c r="AB299" s="11"/>
      <c r="AC299" s="11">
        <v>433</v>
      </c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>
        <v>433</v>
      </c>
      <c r="AO299" s="11"/>
      <c r="AP299" s="11"/>
      <c r="AQ299" s="11"/>
      <c r="AR299" s="11"/>
      <c r="AS299" s="11"/>
      <c r="AT299" s="11"/>
      <c r="AU299" s="20" t="str">
        <f>HYPERLINK("http://www.openstreetmap.org/?mlat=34.0734&amp;mlon=44.864&amp;zoom=12#map=12/34.0734/44.864","Maplink1")</f>
        <v>Maplink1</v>
      </c>
      <c r="AV299" s="20" t="str">
        <f>HYPERLINK("https://www.google.iq/maps/search/+34.0734,44.864/@34.0734,44.864,14z?hl=en","Maplink2")</f>
        <v>Maplink2</v>
      </c>
      <c r="AW299" s="20" t="str">
        <f>HYPERLINK("http://www.bing.com/maps/?lvl=14&amp;sty=h&amp;cp=34.0734~44.864&amp;sp=point.34.0734_44.864","Maplink3")</f>
        <v>Maplink3</v>
      </c>
    </row>
    <row r="300" spans="1:49" x14ac:dyDescent="0.25">
      <c r="A300" s="9">
        <v>25655</v>
      </c>
      <c r="B300" s="10" t="s">
        <v>13</v>
      </c>
      <c r="C300" s="10" t="s">
        <v>474</v>
      </c>
      <c r="D300" s="10" t="s">
        <v>585</v>
      </c>
      <c r="E300" s="10" t="s">
        <v>586</v>
      </c>
      <c r="F300" s="10">
        <v>34.070367109999999</v>
      </c>
      <c r="G300" s="10">
        <v>44.870580060000002</v>
      </c>
      <c r="H300" s="11">
        <v>305</v>
      </c>
      <c r="I300" s="11">
        <v>1830</v>
      </c>
      <c r="J300" s="11"/>
      <c r="K300" s="11"/>
      <c r="L300" s="11"/>
      <c r="M300" s="11"/>
      <c r="N300" s="11"/>
      <c r="O300" s="11">
        <v>210</v>
      </c>
      <c r="P300" s="11"/>
      <c r="Q300" s="11"/>
      <c r="R300" s="11">
        <v>50</v>
      </c>
      <c r="S300" s="11"/>
      <c r="T300" s="11"/>
      <c r="U300" s="11"/>
      <c r="V300" s="11"/>
      <c r="W300" s="11"/>
      <c r="X300" s="11"/>
      <c r="Y300" s="11">
        <v>45</v>
      </c>
      <c r="Z300" s="11"/>
      <c r="AA300" s="11"/>
      <c r="AB300" s="11"/>
      <c r="AC300" s="11">
        <v>305</v>
      </c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>
        <v>305</v>
      </c>
      <c r="AO300" s="11"/>
      <c r="AP300" s="11"/>
      <c r="AQ300" s="11"/>
      <c r="AR300" s="11"/>
      <c r="AS300" s="11"/>
      <c r="AT300" s="11"/>
      <c r="AU300" s="20" t="str">
        <f>HYPERLINK("http://www.openstreetmap.org/?mlat=34.0704&amp;mlon=44.8706&amp;zoom=12#map=12/34.0704/44.8706","Maplink1")</f>
        <v>Maplink1</v>
      </c>
      <c r="AV300" s="20" t="str">
        <f>HYPERLINK("https://www.google.iq/maps/search/+34.0704,44.8706/@34.0704,44.8706,14z?hl=en","Maplink2")</f>
        <v>Maplink2</v>
      </c>
      <c r="AW300" s="20" t="str">
        <f>HYPERLINK("http://www.bing.com/maps/?lvl=14&amp;sty=h&amp;cp=34.0704~44.8706&amp;sp=point.34.0704_44.8706","Maplink3")</f>
        <v>Maplink3</v>
      </c>
    </row>
    <row r="301" spans="1:49" x14ac:dyDescent="0.25">
      <c r="A301" s="9">
        <v>25652</v>
      </c>
      <c r="B301" s="10" t="s">
        <v>13</v>
      </c>
      <c r="C301" s="10" t="s">
        <v>474</v>
      </c>
      <c r="D301" s="10" t="s">
        <v>587</v>
      </c>
      <c r="E301" s="10" t="s">
        <v>588</v>
      </c>
      <c r="F301" s="10">
        <v>34.069891519999999</v>
      </c>
      <c r="G301" s="10">
        <v>44.864400170000003</v>
      </c>
      <c r="H301" s="11">
        <v>417</v>
      </c>
      <c r="I301" s="11">
        <v>2502</v>
      </c>
      <c r="J301" s="11"/>
      <c r="K301" s="11"/>
      <c r="L301" s="11"/>
      <c r="M301" s="11"/>
      <c r="N301" s="11"/>
      <c r="O301" s="11">
        <v>390</v>
      </c>
      <c r="P301" s="11"/>
      <c r="Q301" s="11"/>
      <c r="R301" s="11">
        <v>17</v>
      </c>
      <c r="S301" s="11"/>
      <c r="T301" s="11"/>
      <c r="U301" s="11"/>
      <c r="V301" s="11"/>
      <c r="W301" s="11"/>
      <c r="X301" s="11"/>
      <c r="Y301" s="11">
        <v>10</v>
      </c>
      <c r="Z301" s="11"/>
      <c r="AA301" s="11"/>
      <c r="AB301" s="11"/>
      <c r="AC301" s="11">
        <v>417</v>
      </c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>
        <v>417</v>
      </c>
      <c r="AO301" s="11"/>
      <c r="AP301" s="11"/>
      <c r="AQ301" s="11"/>
      <c r="AR301" s="11"/>
      <c r="AS301" s="11"/>
      <c r="AT301" s="11"/>
      <c r="AU301" s="20" t="str">
        <f>HYPERLINK("http://www.openstreetmap.org/?mlat=34.0699&amp;mlon=44.8644&amp;zoom=12#map=12/34.0699/44.8644","Maplink1")</f>
        <v>Maplink1</v>
      </c>
      <c r="AV301" s="20" t="str">
        <f>HYPERLINK("https://www.google.iq/maps/search/+34.0699,44.8644/@34.0699,44.8644,14z?hl=en","Maplink2")</f>
        <v>Maplink2</v>
      </c>
      <c r="AW301" s="20" t="str">
        <f>HYPERLINK("http://www.bing.com/maps/?lvl=14&amp;sty=h&amp;cp=34.0699~44.8644&amp;sp=point.34.0699_44.8644","Maplink3")</f>
        <v>Maplink3</v>
      </c>
    </row>
    <row r="302" spans="1:49" x14ac:dyDescent="0.25">
      <c r="A302" s="9">
        <v>25653</v>
      </c>
      <c r="B302" s="10" t="s">
        <v>13</v>
      </c>
      <c r="C302" s="10" t="s">
        <v>474</v>
      </c>
      <c r="D302" s="10" t="s">
        <v>589</v>
      </c>
      <c r="E302" s="10" t="s">
        <v>590</v>
      </c>
      <c r="F302" s="10">
        <v>34.077036929999998</v>
      </c>
      <c r="G302" s="10">
        <v>44.855530610000002</v>
      </c>
      <c r="H302" s="11">
        <v>237</v>
      </c>
      <c r="I302" s="11">
        <v>1422</v>
      </c>
      <c r="J302" s="11"/>
      <c r="K302" s="11"/>
      <c r="L302" s="11"/>
      <c r="M302" s="11"/>
      <c r="N302" s="11"/>
      <c r="O302" s="11"/>
      <c r="P302" s="11"/>
      <c r="Q302" s="11"/>
      <c r="R302" s="11">
        <v>237</v>
      </c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>
        <v>237</v>
      </c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>
        <v>237</v>
      </c>
      <c r="AO302" s="11"/>
      <c r="AP302" s="11"/>
      <c r="AQ302" s="11"/>
      <c r="AR302" s="11"/>
      <c r="AS302" s="11"/>
      <c r="AT302" s="11"/>
      <c r="AU302" s="20" t="str">
        <f>HYPERLINK("http://www.openstreetmap.org/?mlat=34.077&amp;mlon=44.8555&amp;zoom=12#map=12/34.077/44.8555","Maplink1")</f>
        <v>Maplink1</v>
      </c>
      <c r="AV302" s="20" t="str">
        <f>HYPERLINK("https://www.google.iq/maps/search/+34.077,44.8555/@34.077,44.8555,14z?hl=en","Maplink2")</f>
        <v>Maplink2</v>
      </c>
      <c r="AW302" s="20" t="str">
        <f>HYPERLINK("http://www.bing.com/maps/?lvl=14&amp;sty=h&amp;cp=34.077~44.8555&amp;sp=point.34.077_44.8555","Maplink3")</f>
        <v>Maplink3</v>
      </c>
    </row>
    <row r="303" spans="1:49" x14ac:dyDescent="0.25">
      <c r="A303" s="9">
        <v>24194</v>
      </c>
      <c r="B303" s="10" t="s">
        <v>13</v>
      </c>
      <c r="C303" s="10" t="s">
        <v>474</v>
      </c>
      <c r="D303" s="10" t="s">
        <v>1837</v>
      </c>
      <c r="E303" s="10" t="s">
        <v>584</v>
      </c>
      <c r="F303" s="10">
        <v>34.073169549900001</v>
      </c>
      <c r="G303" s="10">
        <v>44.855870739499998</v>
      </c>
      <c r="H303" s="11">
        <v>200</v>
      </c>
      <c r="I303" s="11">
        <v>1200</v>
      </c>
      <c r="J303" s="11"/>
      <c r="K303" s="11"/>
      <c r="L303" s="11"/>
      <c r="M303" s="11"/>
      <c r="N303" s="11"/>
      <c r="O303" s="11">
        <v>161</v>
      </c>
      <c r="P303" s="11"/>
      <c r="Q303" s="11"/>
      <c r="R303" s="11">
        <v>39</v>
      </c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>
        <v>200</v>
      </c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>
        <v>200</v>
      </c>
      <c r="AO303" s="11"/>
      <c r="AP303" s="11"/>
      <c r="AQ303" s="11"/>
      <c r="AR303" s="11"/>
      <c r="AS303" s="11"/>
      <c r="AT303" s="11"/>
      <c r="AU303" s="20" t="str">
        <f>HYPERLINK("http://www.openstreetmap.org/?mlat=34.0732&amp;mlon=44.8559&amp;zoom=12#map=12/34.0732/44.8559","Maplink1")</f>
        <v>Maplink1</v>
      </c>
      <c r="AV303" s="20" t="str">
        <f>HYPERLINK("https://www.google.iq/maps/search/+34.0732,44.8559/@34.0732,44.8559,14z?hl=en","Maplink2")</f>
        <v>Maplink2</v>
      </c>
      <c r="AW303" s="20" t="str">
        <f>HYPERLINK("http://www.bing.com/maps/?lvl=14&amp;sty=h&amp;cp=34.0732~44.8559&amp;sp=point.34.0732_44.8559","Maplink3")</f>
        <v>Maplink3</v>
      </c>
    </row>
    <row r="304" spans="1:49" x14ac:dyDescent="0.25">
      <c r="A304" s="9">
        <v>26058</v>
      </c>
      <c r="B304" s="10" t="s">
        <v>13</v>
      </c>
      <c r="C304" s="10" t="s">
        <v>474</v>
      </c>
      <c r="D304" s="10" t="s">
        <v>1838</v>
      </c>
      <c r="E304" s="10" t="s">
        <v>1839</v>
      </c>
      <c r="F304" s="10">
        <v>34.067715870000001</v>
      </c>
      <c r="G304" s="10">
        <v>44.865601130000002</v>
      </c>
      <c r="H304" s="11">
        <v>271</v>
      </c>
      <c r="I304" s="11">
        <v>1626</v>
      </c>
      <c r="J304" s="11"/>
      <c r="K304" s="11"/>
      <c r="L304" s="11"/>
      <c r="M304" s="11"/>
      <c r="N304" s="11"/>
      <c r="O304" s="11">
        <v>244</v>
      </c>
      <c r="P304" s="11"/>
      <c r="Q304" s="11"/>
      <c r="R304" s="11">
        <v>17</v>
      </c>
      <c r="S304" s="11"/>
      <c r="T304" s="11"/>
      <c r="U304" s="11"/>
      <c r="V304" s="11"/>
      <c r="W304" s="11"/>
      <c r="X304" s="11"/>
      <c r="Y304" s="11">
        <v>10</v>
      </c>
      <c r="Z304" s="11"/>
      <c r="AA304" s="11"/>
      <c r="AB304" s="11"/>
      <c r="AC304" s="11">
        <v>271</v>
      </c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>
        <v>271</v>
      </c>
      <c r="AO304" s="11"/>
      <c r="AP304" s="11"/>
      <c r="AQ304" s="11"/>
      <c r="AR304" s="11"/>
      <c r="AS304" s="11"/>
      <c r="AT304" s="11"/>
      <c r="AU304" s="20" t="str">
        <f>HYPERLINK("http://www.openstreetmap.org/?mlat=34.0677&amp;mlon=44.8656&amp;zoom=12#map=12/34.0677/44.8656","Maplink1")</f>
        <v>Maplink1</v>
      </c>
      <c r="AV304" s="20" t="str">
        <f>HYPERLINK("https://www.google.iq/maps/search/+34.0677,44.8656/@34.0677,44.8656,14z?hl=en","Maplink2")</f>
        <v>Maplink2</v>
      </c>
      <c r="AW304" s="20" t="str">
        <f>HYPERLINK("http://www.bing.com/maps/?lvl=14&amp;sty=h&amp;cp=34.0677~44.8656&amp;sp=point.34.0677_44.8656","Maplink3")</f>
        <v>Maplink3</v>
      </c>
    </row>
    <row r="305" spans="1:49" x14ac:dyDescent="0.25">
      <c r="A305" s="9">
        <v>25656</v>
      </c>
      <c r="B305" s="10" t="s">
        <v>13</v>
      </c>
      <c r="C305" s="10" t="s">
        <v>474</v>
      </c>
      <c r="D305" s="10" t="s">
        <v>1840</v>
      </c>
      <c r="E305" s="10" t="s">
        <v>1841</v>
      </c>
      <c r="F305" s="10">
        <v>34.069639559999999</v>
      </c>
      <c r="G305" s="10">
        <v>44.859890450000002</v>
      </c>
      <c r="H305" s="11">
        <v>201</v>
      </c>
      <c r="I305" s="11">
        <v>1206</v>
      </c>
      <c r="J305" s="11"/>
      <c r="K305" s="11"/>
      <c r="L305" s="11"/>
      <c r="M305" s="11"/>
      <c r="N305" s="11"/>
      <c r="O305" s="11">
        <v>141</v>
      </c>
      <c r="P305" s="11"/>
      <c r="Q305" s="11"/>
      <c r="R305" s="11">
        <v>35</v>
      </c>
      <c r="S305" s="11"/>
      <c r="T305" s="11"/>
      <c r="U305" s="11"/>
      <c r="V305" s="11"/>
      <c r="W305" s="11"/>
      <c r="X305" s="11"/>
      <c r="Y305" s="11">
        <v>25</v>
      </c>
      <c r="Z305" s="11"/>
      <c r="AA305" s="11"/>
      <c r="AB305" s="11"/>
      <c r="AC305" s="11">
        <v>201</v>
      </c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>
        <v>201</v>
      </c>
      <c r="AO305" s="11"/>
      <c r="AP305" s="11"/>
      <c r="AQ305" s="11"/>
      <c r="AR305" s="11"/>
      <c r="AS305" s="11"/>
      <c r="AT305" s="11"/>
      <c r="AU305" s="20" t="str">
        <f>HYPERLINK("http://www.openstreetmap.org/?mlat=34.0696&amp;mlon=44.8599&amp;zoom=12#map=12/34.0696/44.8599","Maplink1")</f>
        <v>Maplink1</v>
      </c>
      <c r="AV305" s="20" t="str">
        <f>HYPERLINK("https://www.google.iq/maps/search/+34.0696,44.8599/@34.0696,44.8599,14z?hl=en","Maplink2")</f>
        <v>Maplink2</v>
      </c>
      <c r="AW305" s="20" t="str">
        <f>HYPERLINK("http://www.bing.com/maps/?lvl=14&amp;sty=h&amp;cp=34.0696~44.8599&amp;sp=point.34.0696_44.8599","Maplink3")</f>
        <v>Maplink3</v>
      </c>
    </row>
    <row r="306" spans="1:49" x14ac:dyDescent="0.25">
      <c r="A306" s="9">
        <v>25678</v>
      </c>
      <c r="B306" s="10" t="s">
        <v>13</v>
      </c>
      <c r="C306" s="10" t="s">
        <v>474</v>
      </c>
      <c r="D306" s="10" t="s">
        <v>1842</v>
      </c>
      <c r="E306" s="10" t="s">
        <v>591</v>
      </c>
      <c r="F306" s="10">
        <v>34.125690872100002</v>
      </c>
      <c r="G306" s="10">
        <v>44.8435787425</v>
      </c>
      <c r="H306" s="11">
        <v>164</v>
      </c>
      <c r="I306" s="11">
        <v>984</v>
      </c>
      <c r="J306" s="11"/>
      <c r="K306" s="11"/>
      <c r="L306" s="11"/>
      <c r="M306" s="11"/>
      <c r="N306" s="11"/>
      <c r="O306" s="11">
        <v>154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>
        <v>10</v>
      </c>
      <c r="Z306" s="11"/>
      <c r="AA306" s="11"/>
      <c r="AB306" s="11"/>
      <c r="AC306" s="11">
        <v>164</v>
      </c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>
        <v>164</v>
      </c>
      <c r="AQ306" s="11"/>
      <c r="AR306" s="11"/>
      <c r="AS306" s="11"/>
      <c r="AT306" s="11"/>
      <c r="AU306" s="20" t="str">
        <f>HYPERLINK("http://www.openstreetmap.org/?mlat=34.1257&amp;mlon=44.8436&amp;zoom=12#map=12/34.1257/44.8436","Maplink1")</f>
        <v>Maplink1</v>
      </c>
      <c r="AV306" s="20" t="str">
        <f>HYPERLINK("https://www.google.iq/maps/search/+34.1257,44.8436/@34.1257,44.8436,14z?hl=en","Maplink2")</f>
        <v>Maplink2</v>
      </c>
      <c r="AW306" s="20" t="str">
        <f>HYPERLINK("http://www.bing.com/maps/?lvl=14&amp;sty=h&amp;cp=34.1257~44.8436&amp;sp=point.34.1257_44.8436","Maplink3")</f>
        <v>Maplink3</v>
      </c>
    </row>
    <row r="307" spans="1:49" x14ac:dyDescent="0.25">
      <c r="A307" s="9">
        <v>26076</v>
      </c>
      <c r="B307" s="10" t="s">
        <v>13</v>
      </c>
      <c r="C307" s="10" t="s">
        <v>474</v>
      </c>
      <c r="D307" s="10" t="s">
        <v>592</v>
      </c>
      <c r="E307" s="10" t="s">
        <v>593</v>
      </c>
      <c r="F307" s="10">
        <v>34.068726287700002</v>
      </c>
      <c r="G307" s="10">
        <v>44.895447069900001</v>
      </c>
      <c r="H307" s="11">
        <v>200</v>
      </c>
      <c r="I307" s="11">
        <v>1200</v>
      </c>
      <c r="J307" s="11"/>
      <c r="K307" s="11"/>
      <c r="L307" s="11"/>
      <c r="M307" s="11"/>
      <c r="N307" s="11"/>
      <c r="O307" s="11">
        <v>200</v>
      </c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>
        <v>200</v>
      </c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>
        <v>200</v>
      </c>
      <c r="AO307" s="11"/>
      <c r="AP307" s="11"/>
      <c r="AQ307" s="11"/>
      <c r="AR307" s="11"/>
      <c r="AS307" s="11"/>
      <c r="AT307" s="11"/>
      <c r="AU307" s="20" t="str">
        <f>HYPERLINK("http://www.openstreetmap.org/?mlat=34.0687&amp;mlon=44.8954&amp;zoom=12#map=12/34.0687/44.8954","Maplink1")</f>
        <v>Maplink1</v>
      </c>
      <c r="AV307" s="20" t="str">
        <f>HYPERLINK("https://www.google.iq/maps/search/+34.0687,44.8954/@34.0687,44.8954,14z?hl=en","Maplink2")</f>
        <v>Maplink2</v>
      </c>
      <c r="AW307" s="20" t="str">
        <f>HYPERLINK("http://www.bing.com/maps/?lvl=14&amp;sty=h&amp;cp=34.0687~44.8954&amp;sp=point.34.0687_44.8954","Maplink3")</f>
        <v>Maplink3</v>
      </c>
    </row>
    <row r="308" spans="1:49" x14ac:dyDescent="0.25">
      <c r="A308" s="9">
        <v>27160</v>
      </c>
      <c r="B308" s="10" t="s">
        <v>13</v>
      </c>
      <c r="C308" s="10" t="s">
        <v>474</v>
      </c>
      <c r="D308" s="10" t="s">
        <v>594</v>
      </c>
      <c r="E308" s="10" t="s">
        <v>595</v>
      </c>
      <c r="F308" s="10">
        <v>34.311416190000003</v>
      </c>
      <c r="G308" s="10">
        <v>44.811089959999997</v>
      </c>
      <c r="H308" s="11">
        <v>75</v>
      </c>
      <c r="I308" s="11">
        <v>450</v>
      </c>
      <c r="J308" s="11"/>
      <c r="K308" s="11"/>
      <c r="L308" s="11"/>
      <c r="M308" s="11"/>
      <c r="N308" s="11"/>
      <c r="O308" s="11"/>
      <c r="P308" s="11"/>
      <c r="Q308" s="11"/>
      <c r="R308" s="11">
        <v>75</v>
      </c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>
        <v>75</v>
      </c>
      <c r="AE308" s="11"/>
      <c r="AF308" s="11"/>
      <c r="AG308" s="11"/>
      <c r="AH308" s="11"/>
      <c r="AI308" s="11"/>
      <c r="AJ308" s="11"/>
      <c r="AK308" s="11"/>
      <c r="AL308" s="11"/>
      <c r="AM308" s="11"/>
      <c r="AN308" s="11">
        <v>75</v>
      </c>
      <c r="AO308" s="11"/>
      <c r="AP308" s="11"/>
      <c r="AQ308" s="11"/>
      <c r="AR308" s="11"/>
      <c r="AS308" s="11"/>
      <c r="AT308" s="11"/>
      <c r="AU308" s="20" t="str">
        <f>HYPERLINK("http://www.openstreetmap.org/?mlat=34.3114&amp;mlon=44.8111&amp;zoom=12#map=12/34.3114/44.8111","Maplink1")</f>
        <v>Maplink1</v>
      </c>
      <c r="AV308" s="20" t="str">
        <f>HYPERLINK("https://www.google.iq/maps/search/+34.3114,44.8111/@34.3114,44.8111,14z?hl=en","Maplink2")</f>
        <v>Maplink2</v>
      </c>
      <c r="AW308" s="20" t="str">
        <f>HYPERLINK("http://www.bing.com/maps/?lvl=14&amp;sty=h&amp;cp=34.3114~44.8111&amp;sp=point.34.3114_44.8111","Maplink3")</f>
        <v>Maplink3</v>
      </c>
    </row>
    <row r="309" spans="1:49" x14ac:dyDescent="0.25">
      <c r="A309" s="9">
        <v>25673</v>
      </c>
      <c r="B309" s="10" t="s">
        <v>13</v>
      </c>
      <c r="C309" s="10" t="s">
        <v>474</v>
      </c>
      <c r="D309" s="10" t="s">
        <v>596</v>
      </c>
      <c r="E309" s="10" t="s">
        <v>597</v>
      </c>
      <c r="F309" s="10">
        <v>34.05390233</v>
      </c>
      <c r="G309" s="10">
        <v>44.892276699999996</v>
      </c>
      <c r="H309" s="11">
        <v>549</v>
      </c>
      <c r="I309" s="11">
        <v>3294</v>
      </c>
      <c r="J309" s="11"/>
      <c r="K309" s="11"/>
      <c r="L309" s="11"/>
      <c r="M309" s="11"/>
      <c r="N309" s="11"/>
      <c r="O309" s="11">
        <v>349</v>
      </c>
      <c r="P309" s="11"/>
      <c r="Q309" s="11"/>
      <c r="R309" s="11">
        <v>100</v>
      </c>
      <c r="S309" s="11"/>
      <c r="T309" s="11"/>
      <c r="U309" s="11"/>
      <c r="V309" s="11"/>
      <c r="W309" s="11"/>
      <c r="X309" s="11"/>
      <c r="Y309" s="11">
        <v>100</v>
      </c>
      <c r="Z309" s="11"/>
      <c r="AA309" s="11"/>
      <c r="AB309" s="11"/>
      <c r="AC309" s="11">
        <v>549</v>
      </c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>
        <v>549</v>
      </c>
      <c r="AQ309" s="11"/>
      <c r="AR309" s="11"/>
      <c r="AS309" s="11"/>
      <c r="AT309" s="11"/>
      <c r="AU309" s="20" t="str">
        <f>HYPERLINK("http://www.openstreetmap.org/?mlat=34.0539&amp;mlon=44.8923&amp;zoom=12#map=12/34.0539/44.8923","Maplink1")</f>
        <v>Maplink1</v>
      </c>
      <c r="AV309" s="20" t="str">
        <f>HYPERLINK("https://www.google.iq/maps/search/+34.0539,44.8923/@34.0539,44.8923,14z?hl=en","Maplink2")</f>
        <v>Maplink2</v>
      </c>
      <c r="AW309" s="20" t="str">
        <f>HYPERLINK("http://www.bing.com/maps/?lvl=14&amp;sty=h&amp;cp=34.0539~44.8923&amp;sp=point.34.0539_44.8923","Maplink3")</f>
        <v>Maplink3</v>
      </c>
    </row>
    <row r="310" spans="1:49" x14ac:dyDescent="0.25">
      <c r="A310" s="9">
        <v>25672</v>
      </c>
      <c r="B310" s="10" t="s">
        <v>13</v>
      </c>
      <c r="C310" s="10" t="s">
        <v>474</v>
      </c>
      <c r="D310" s="10" t="s">
        <v>598</v>
      </c>
      <c r="E310" s="10" t="s">
        <v>599</v>
      </c>
      <c r="F310" s="10">
        <v>34.121221995500001</v>
      </c>
      <c r="G310" s="10">
        <v>44.8289999677</v>
      </c>
      <c r="H310" s="11">
        <v>240</v>
      </c>
      <c r="I310" s="11">
        <v>1440</v>
      </c>
      <c r="J310" s="11"/>
      <c r="K310" s="11"/>
      <c r="L310" s="11"/>
      <c r="M310" s="11"/>
      <c r="N310" s="11"/>
      <c r="O310" s="11">
        <v>200</v>
      </c>
      <c r="P310" s="11"/>
      <c r="Q310" s="11"/>
      <c r="R310" s="11">
        <v>20</v>
      </c>
      <c r="S310" s="11"/>
      <c r="T310" s="11"/>
      <c r="U310" s="11"/>
      <c r="V310" s="11"/>
      <c r="W310" s="11"/>
      <c r="X310" s="11"/>
      <c r="Y310" s="11">
        <v>20</v>
      </c>
      <c r="Z310" s="11"/>
      <c r="AA310" s="11"/>
      <c r="AB310" s="11"/>
      <c r="AC310" s="11">
        <v>240</v>
      </c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>
        <v>240</v>
      </c>
      <c r="AQ310" s="11"/>
      <c r="AR310" s="11"/>
      <c r="AS310" s="11"/>
      <c r="AT310" s="11"/>
      <c r="AU310" s="20" t="str">
        <f>HYPERLINK("http://www.openstreetmap.org/?mlat=34.1212&amp;mlon=44.829&amp;zoom=12#map=12/34.1212/44.829","Maplink1")</f>
        <v>Maplink1</v>
      </c>
      <c r="AV310" s="20" t="str">
        <f>HYPERLINK("https://www.google.iq/maps/search/+34.1212,44.829/@34.1212,44.829,14z?hl=en","Maplink2")</f>
        <v>Maplink2</v>
      </c>
      <c r="AW310" s="20" t="str">
        <f>HYPERLINK("http://www.bing.com/maps/?lvl=14&amp;sty=h&amp;cp=34.1212~44.829&amp;sp=point.34.1212_44.829","Maplink3")</f>
        <v>Maplink3</v>
      </c>
    </row>
    <row r="311" spans="1:49" x14ac:dyDescent="0.25">
      <c r="A311" s="9">
        <v>25677</v>
      </c>
      <c r="B311" s="10" t="s">
        <v>13</v>
      </c>
      <c r="C311" s="10" t="s">
        <v>474</v>
      </c>
      <c r="D311" s="10" t="s">
        <v>600</v>
      </c>
      <c r="E311" s="10" t="s">
        <v>601</v>
      </c>
      <c r="F311" s="10">
        <v>34.039016020200002</v>
      </c>
      <c r="G311" s="10">
        <v>44.883585930599999</v>
      </c>
      <c r="H311" s="11">
        <v>110</v>
      </c>
      <c r="I311" s="11">
        <v>660</v>
      </c>
      <c r="J311" s="11"/>
      <c r="K311" s="11"/>
      <c r="L311" s="11"/>
      <c r="M311" s="11"/>
      <c r="N311" s="11"/>
      <c r="O311" s="11">
        <v>110</v>
      </c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>
        <v>110</v>
      </c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>
        <v>110</v>
      </c>
      <c r="AQ311" s="11"/>
      <c r="AR311" s="11"/>
      <c r="AS311" s="11"/>
      <c r="AT311" s="11"/>
      <c r="AU311" s="20" t="str">
        <f>HYPERLINK("http://www.openstreetmap.org/?mlat=34.039&amp;mlon=44.8836&amp;zoom=12#map=12/34.039/44.8836","Maplink1")</f>
        <v>Maplink1</v>
      </c>
      <c r="AV311" s="20" t="str">
        <f>HYPERLINK("https://www.google.iq/maps/search/+34.039,44.8836/@34.039,44.8836,14z?hl=en","Maplink2")</f>
        <v>Maplink2</v>
      </c>
      <c r="AW311" s="20" t="str">
        <f>HYPERLINK("http://www.bing.com/maps/?lvl=14&amp;sty=h&amp;cp=34.039~44.8836&amp;sp=point.34.039_44.8836","Maplink3")</f>
        <v>Maplink3</v>
      </c>
    </row>
    <row r="312" spans="1:49" x14ac:dyDescent="0.25">
      <c r="A312" s="9">
        <v>27171</v>
      </c>
      <c r="B312" s="10" t="s">
        <v>13</v>
      </c>
      <c r="C312" s="10" t="s">
        <v>474</v>
      </c>
      <c r="D312" s="10" t="s">
        <v>602</v>
      </c>
      <c r="E312" s="10" t="s">
        <v>603</v>
      </c>
      <c r="F312" s="10">
        <v>34.101789953500003</v>
      </c>
      <c r="G312" s="10">
        <v>44.462555237099998</v>
      </c>
      <c r="H312" s="11">
        <v>8</v>
      </c>
      <c r="I312" s="11">
        <v>48</v>
      </c>
      <c r="J312" s="11"/>
      <c r="K312" s="11"/>
      <c r="L312" s="11"/>
      <c r="M312" s="11"/>
      <c r="N312" s="11"/>
      <c r="O312" s="11">
        <v>3</v>
      </c>
      <c r="P312" s="11"/>
      <c r="Q312" s="11"/>
      <c r="R312" s="11">
        <v>5</v>
      </c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>
        <v>8</v>
      </c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>
        <v>8</v>
      </c>
      <c r="AO312" s="11"/>
      <c r="AP312" s="11"/>
      <c r="AQ312" s="11"/>
      <c r="AR312" s="11"/>
      <c r="AS312" s="11"/>
      <c r="AT312" s="11"/>
      <c r="AU312" s="20" t="str">
        <f>HYPERLINK("http://www.openstreetmap.org/?mlat=34.1018&amp;mlon=44.4626&amp;zoom=12#map=12/34.1018/44.4626","Maplink1")</f>
        <v>Maplink1</v>
      </c>
      <c r="AV312" s="20" t="str">
        <f>HYPERLINK("https://www.google.iq/maps/search/+34.1018,44.4626/@34.1018,44.4626,14z?hl=en","Maplink2")</f>
        <v>Maplink2</v>
      </c>
      <c r="AW312" s="20" t="str">
        <f>HYPERLINK("http://www.bing.com/maps/?lvl=14&amp;sty=h&amp;cp=34.1018~44.4626&amp;sp=point.34.1018_44.4626","Maplink3")</f>
        <v>Maplink3</v>
      </c>
    </row>
    <row r="313" spans="1:49" x14ac:dyDescent="0.25">
      <c r="A313" s="9">
        <v>27170</v>
      </c>
      <c r="B313" s="10" t="s">
        <v>13</v>
      </c>
      <c r="C313" s="10" t="s">
        <v>474</v>
      </c>
      <c r="D313" s="10" t="s">
        <v>604</v>
      </c>
      <c r="E313" s="10" t="s">
        <v>605</v>
      </c>
      <c r="F313" s="10">
        <v>34.232659870399999</v>
      </c>
      <c r="G313" s="10">
        <v>44.517822828299998</v>
      </c>
      <c r="H313" s="11">
        <v>5</v>
      </c>
      <c r="I313" s="11">
        <v>30</v>
      </c>
      <c r="J313" s="11"/>
      <c r="K313" s="11"/>
      <c r="L313" s="11"/>
      <c r="M313" s="11"/>
      <c r="N313" s="11"/>
      <c r="O313" s="11"/>
      <c r="P313" s="11"/>
      <c r="Q313" s="11"/>
      <c r="R313" s="11">
        <v>5</v>
      </c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>
        <v>5</v>
      </c>
      <c r="AE313" s="11"/>
      <c r="AF313" s="11"/>
      <c r="AG313" s="11"/>
      <c r="AH313" s="11"/>
      <c r="AI313" s="11"/>
      <c r="AJ313" s="11"/>
      <c r="AK313" s="11"/>
      <c r="AL313" s="11"/>
      <c r="AM313" s="11"/>
      <c r="AN313" s="11">
        <v>5</v>
      </c>
      <c r="AO313" s="11"/>
      <c r="AP313" s="11"/>
      <c r="AQ313" s="11"/>
      <c r="AR313" s="11"/>
      <c r="AS313" s="11"/>
      <c r="AT313" s="11"/>
      <c r="AU313" s="20" t="str">
        <f>HYPERLINK("http://www.openstreetmap.org/?mlat=34.2327&amp;mlon=44.5178&amp;zoom=12#map=12/34.2327/44.5178","Maplink1")</f>
        <v>Maplink1</v>
      </c>
      <c r="AV313" s="20" t="str">
        <f>HYPERLINK("https://www.google.iq/maps/search/+34.2327,44.5178/@34.2327,44.5178,14z?hl=en","Maplink2")</f>
        <v>Maplink2</v>
      </c>
      <c r="AW313" s="20" t="str">
        <f>HYPERLINK("http://www.bing.com/maps/?lvl=14&amp;sty=h&amp;cp=34.2327~44.5178&amp;sp=point.34.2327_44.5178","Maplink3")</f>
        <v>Maplink3</v>
      </c>
    </row>
    <row r="314" spans="1:49" x14ac:dyDescent="0.25">
      <c r="A314" s="9">
        <v>27167</v>
      </c>
      <c r="B314" s="10" t="s">
        <v>13</v>
      </c>
      <c r="C314" s="10" t="s">
        <v>474</v>
      </c>
      <c r="D314" s="10" t="s">
        <v>606</v>
      </c>
      <c r="E314" s="10" t="s">
        <v>607</v>
      </c>
      <c r="F314" s="10">
        <v>34.104028530199997</v>
      </c>
      <c r="G314" s="10">
        <v>44.4160030034</v>
      </c>
      <c r="H314" s="11">
        <v>14</v>
      </c>
      <c r="I314" s="11">
        <v>84</v>
      </c>
      <c r="J314" s="11"/>
      <c r="K314" s="11"/>
      <c r="L314" s="11"/>
      <c r="M314" s="11"/>
      <c r="N314" s="11"/>
      <c r="O314" s="11"/>
      <c r="P314" s="11"/>
      <c r="Q314" s="11"/>
      <c r="R314" s="11">
        <v>14</v>
      </c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>
        <v>14</v>
      </c>
      <c r="AE314" s="11"/>
      <c r="AF314" s="11"/>
      <c r="AG314" s="11"/>
      <c r="AH314" s="11"/>
      <c r="AI314" s="11"/>
      <c r="AJ314" s="11"/>
      <c r="AK314" s="11"/>
      <c r="AL314" s="11"/>
      <c r="AM314" s="11"/>
      <c r="AN314" s="11">
        <v>14</v>
      </c>
      <c r="AO314" s="11"/>
      <c r="AP314" s="11"/>
      <c r="AQ314" s="11"/>
      <c r="AR314" s="11"/>
      <c r="AS314" s="11"/>
      <c r="AT314" s="11"/>
      <c r="AU314" s="20" t="str">
        <f>HYPERLINK("http://www.openstreetmap.org/?mlat=34.104&amp;mlon=44.416&amp;zoom=12#map=12/34.104/44.416","Maplink1")</f>
        <v>Maplink1</v>
      </c>
      <c r="AV314" s="20" t="str">
        <f>HYPERLINK("https://www.google.iq/maps/search/+34.104,44.416/@34.104,44.416,14z?hl=en","Maplink2")</f>
        <v>Maplink2</v>
      </c>
      <c r="AW314" s="20" t="str">
        <f>HYPERLINK("http://www.bing.com/maps/?lvl=14&amp;sty=h&amp;cp=34.104~44.416&amp;sp=point.34.104_44.416","Maplink3")</f>
        <v>Maplink3</v>
      </c>
    </row>
    <row r="315" spans="1:49" x14ac:dyDescent="0.25">
      <c r="A315" s="9">
        <v>27179</v>
      </c>
      <c r="B315" s="10" t="s">
        <v>13</v>
      </c>
      <c r="C315" s="10" t="s">
        <v>474</v>
      </c>
      <c r="D315" s="10" t="s">
        <v>608</v>
      </c>
      <c r="E315" s="10" t="s">
        <v>609</v>
      </c>
      <c r="F315" s="10">
        <v>34.174874989999999</v>
      </c>
      <c r="G315" s="10">
        <v>44.42334065</v>
      </c>
      <c r="H315" s="11">
        <v>140</v>
      </c>
      <c r="I315" s="11">
        <v>840</v>
      </c>
      <c r="J315" s="11"/>
      <c r="K315" s="11"/>
      <c r="L315" s="11"/>
      <c r="M315" s="11"/>
      <c r="N315" s="11"/>
      <c r="O315" s="11">
        <v>20</v>
      </c>
      <c r="P315" s="11"/>
      <c r="Q315" s="11"/>
      <c r="R315" s="11">
        <v>120</v>
      </c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>
        <v>140</v>
      </c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>
        <v>140</v>
      </c>
      <c r="AO315" s="11"/>
      <c r="AP315" s="11"/>
      <c r="AQ315" s="11"/>
      <c r="AR315" s="11"/>
      <c r="AS315" s="11"/>
      <c r="AT315" s="11"/>
      <c r="AU315" s="20" t="str">
        <f>HYPERLINK("http://www.openstreetmap.org/?mlat=34.1749&amp;mlon=44.4233&amp;zoom=12#map=12/34.1749/44.4233","Maplink1")</f>
        <v>Maplink1</v>
      </c>
      <c r="AV315" s="20" t="str">
        <f>HYPERLINK("https://www.google.iq/maps/search/+34.1749,44.4233/@34.1749,44.4233,14z?hl=en","Maplink2")</f>
        <v>Maplink2</v>
      </c>
      <c r="AW315" s="20" t="str">
        <f>HYPERLINK("http://www.bing.com/maps/?lvl=14&amp;sty=h&amp;cp=34.1749~44.4233&amp;sp=point.34.1749_44.4233","Maplink3")</f>
        <v>Maplink3</v>
      </c>
    </row>
    <row r="316" spans="1:49" x14ac:dyDescent="0.25">
      <c r="A316" s="9">
        <v>27154</v>
      </c>
      <c r="B316" s="10" t="s">
        <v>13</v>
      </c>
      <c r="C316" s="10" t="s">
        <v>474</v>
      </c>
      <c r="D316" s="10" t="s">
        <v>610</v>
      </c>
      <c r="E316" s="10" t="s">
        <v>611</v>
      </c>
      <c r="F316" s="10">
        <v>34.1223563</v>
      </c>
      <c r="G316" s="10">
        <v>44.597043059999997</v>
      </c>
      <c r="H316" s="11">
        <v>47</v>
      </c>
      <c r="I316" s="11">
        <v>282</v>
      </c>
      <c r="J316" s="11"/>
      <c r="K316" s="11"/>
      <c r="L316" s="11"/>
      <c r="M316" s="11"/>
      <c r="N316" s="11"/>
      <c r="O316" s="11"/>
      <c r="P316" s="11"/>
      <c r="Q316" s="11"/>
      <c r="R316" s="11">
        <v>47</v>
      </c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>
        <v>47</v>
      </c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>
        <v>47</v>
      </c>
      <c r="AO316" s="11"/>
      <c r="AP316" s="11"/>
      <c r="AQ316" s="11"/>
      <c r="AR316" s="11"/>
      <c r="AS316" s="11"/>
      <c r="AT316" s="11"/>
      <c r="AU316" s="20" t="str">
        <f>HYPERLINK("http://www.openstreetmap.org/?mlat=34.1224&amp;mlon=44.597&amp;zoom=12#map=12/34.1224/44.597","Maplink1")</f>
        <v>Maplink1</v>
      </c>
      <c r="AV316" s="20" t="str">
        <f>HYPERLINK("https://www.google.iq/maps/search/+34.1224,44.597/@34.1224,44.597,14z?hl=en","Maplink2")</f>
        <v>Maplink2</v>
      </c>
      <c r="AW316" s="20" t="str">
        <f>HYPERLINK("http://www.bing.com/maps/?lvl=14&amp;sty=h&amp;cp=34.1224~44.597&amp;sp=point.34.1224_44.597","Maplink3")</f>
        <v>Maplink3</v>
      </c>
    </row>
    <row r="317" spans="1:49" x14ac:dyDescent="0.25">
      <c r="A317" s="9">
        <v>21221</v>
      </c>
      <c r="B317" s="10" t="s">
        <v>13</v>
      </c>
      <c r="C317" s="10" t="s">
        <v>474</v>
      </c>
      <c r="D317" s="10" t="s">
        <v>612</v>
      </c>
      <c r="E317" s="10" t="s">
        <v>613</v>
      </c>
      <c r="F317" s="10">
        <v>34.155734650699998</v>
      </c>
      <c r="G317" s="10">
        <v>44.492778388799998</v>
      </c>
      <c r="H317" s="11">
        <v>55</v>
      </c>
      <c r="I317" s="11">
        <v>330</v>
      </c>
      <c r="J317" s="11"/>
      <c r="K317" s="11"/>
      <c r="L317" s="11"/>
      <c r="M317" s="11"/>
      <c r="N317" s="11"/>
      <c r="O317" s="11"/>
      <c r="P317" s="11"/>
      <c r="Q317" s="11"/>
      <c r="R317" s="11">
        <v>55</v>
      </c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>
        <v>55</v>
      </c>
      <c r="AE317" s="11"/>
      <c r="AF317" s="11"/>
      <c r="AG317" s="11"/>
      <c r="AH317" s="11"/>
      <c r="AI317" s="11"/>
      <c r="AJ317" s="11"/>
      <c r="AK317" s="11"/>
      <c r="AL317" s="11"/>
      <c r="AM317" s="11"/>
      <c r="AN317" s="11">
        <v>55</v>
      </c>
      <c r="AO317" s="11"/>
      <c r="AP317" s="11"/>
      <c r="AQ317" s="11"/>
      <c r="AR317" s="11"/>
      <c r="AS317" s="11"/>
      <c r="AT317" s="11"/>
      <c r="AU317" s="20" t="str">
        <f>HYPERLINK("http://www.openstreetmap.org/?mlat=34.1557&amp;mlon=44.4928&amp;zoom=12#map=12/34.1557/44.4928","Maplink1")</f>
        <v>Maplink1</v>
      </c>
      <c r="AV317" s="20" t="str">
        <f>HYPERLINK("https://www.google.iq/maps/search/+34.1557,44.4928/@34.1557,44.4928,14z?hl=en","Maplink2")</f>
        <v>Maplink2</v>
      </c>
      <c r="AW317" s="20" t="str">
        <f>HYPERLINK("http://www.bing.com/maps/?lvl=14&amp;sty=h&amp;cp=34.1557~44.4928&amp;sp=point.34.1557_44.4928","Maplink3")</f>
        <v>Maplink3</v>
      </c>
    </row>
    <row r="318" spans="1:49" x14ac:dyDescent="0.25">
      <c r="A318" s="9">
        <v>27243</v>
      </c>
      <c r="B318" s="10" t="s">
        <v>13</v>
      </c>
      <c r="C318" s="10" t="s">
        <v>474</v>
      </c>
      <c r="D318" s="10" t="s">
        <v>614</v>
      </c>
      <c r="E318" s="10" t="s">
        <v>615</v>
      </c>
      <c r="F318" s="10">
        <v>34.080922271799999</v>
      </c>
      <c r="G318" s="10">
        <v>44.953184283699997</v>
      </c>
      <c r="H318" s="11">
        <v>1310</v>
      </c>
      <c r="I318" s="11">
        <v>7860</v>
      </c>
      <c r="J318" s="11"/>
      <c r="K318" s="11"/>
      <c r="L318" s="11"/>
      <c r="M318" s="11"/>
      <c r="N318" s="11"/>
      <c r="O318" s="11">
        <v>1125</v>
      </c>
      <c r="P318" s="11">
        <v>20</v>
      </c>
      <c r="Q318" s="11"/>
      <c r="R318" s="11">
        <v>120</v>
      </c>
      <c r="S318" s="11"/>
      <c r="T318" s="11"/>
      <c r="U318" s="11"/>
      <c r="V318" s="11"/>
      <c r="W318" s="11"/>
      <c r="X318" s="11"/>
      <c r="Y318" s="11">
        <v>45</v>
      </c>
      <c r="Z318" s="11"/>
      <c r="AA318" s="11"/>
      <c r="AB318" s="11"/>
      <c r="AC318" s="11">
        <v>1310</v>
      </c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>
        <v>1310</v>
      </c>
      <c r="AQ318" s="11"/>
      <c r="AR318" s="11"/>
      <c r="AS318" s="11"/>
      <c r="AT318" s="11"/>
      <c r="AU318" s="20" t="str">
        <f>HYPERLINK("http://www.openstreetmap.org/?mlat=34.0809&amp;mlon=44.9532&amp;zoom=12#map=12/34.0809/44.9532","Maplink1")</f>
        <v>Maplink1</v>
      </c>
      <c r="AV318" s="20" t="str">
        <f>HYPERLINK("https://www.google.iq/maps/search/+34.0809,44.9532/@34.0809,44.9532,14z?hl=en","Maplink2")</f>
        <v>Maplink2</v>
      </c>
      <c r="AW318" s="20" t="str">
        <f>HYPERLINK("http://www.bing.com/maps/?lvl=14&amp;sty=h&amp;cp=34.0809~44.9532&amp;sp=point.34.0809_44.9532","Maplink3")</f>
        <v>Maplink3</v>
      </c>
    </row>
    <row r="319" spans="1:49" x14ac:dyDescent="0.25">
      <c r="A319" s="9">
        <v>27168</v>
      </c>
      <c r="B319" s="10" t="s">
        <v>13</v>
      </c>
      <c r="C319" s="10" t="s">
        <v>474</v>
      </c>
      <c r="D319" s="10" t="s">
        <v>616</v>
      </c>
      <c r="E319" s="10" t="s">
        <v>617</v>
      </c>
      <c r="F319" s="10">
        <v>34.113699539999999</v>
      </c>
      <c r="G319" s="10">
        <v>44.505915600000002</v>
      </c>
      <c r="H319" s="11">
        <v>10</v>
      </c>
      <c r="I319" s="11">
        <v>60</v>
      </c>
      <c r="J319" s="11"/>
      <c r="K319" s="11"/>
      <c r="L319" s="11"/>
      <c r="M319" s="11"/>
      <c r="N319" s="11"/>
      <c r="O319" s="11"/>
      <c r="P319" s="11"/>
      <c r="Q319" s="11"/>
      <c r="R319" s="11">
        <v>10</v>
      </c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>
        <v>10</v>
      </c>
      <c r="AE319" s="11"/>
      <c r="AF319" s="11"/>
      <c r="AG319" s="11"/>
      <c r="AH319" s="11"/>
      <c r="AI319" s="11"/>
      <c r="AJ319" s="11"/>
      <c r="AK319" s="11"/>
      <c r="AL319" s="11"/>
      <c r="AM319" s="11"/>
      <c r="AN319" s="11">
        <v>10</v>
      </c>
      <c r="AO319" s="11"/>
      <c r="AP319" s="11"/>
      <c r="AQ319" s="11"/>
      <c r="AR319" s="11"/>
      <c r="AS319" s="11"/>
      <c r="AT319" s="11"/>
      <c r="AU319" s="20" t="str">
        <f>HYPERLINK("http://www.openstreetmap.org/?mlat=34.1137&amp;mlon=44.5059&amp;zoom=12#map=12/34.1137/44.5059","Maplink1")</f>
        <v>Maplink1</v>
      </c>
      <c r="AV319" s="20" t="str">
        <f>HYPERLINK("https://www.google.iq/maps/search/+34.1137,44.5059/@34.1137,44.5059,14z?hl=en","Maplink2")</f>
        <v>Maplink2</v>
      </c>
      <c r="AW319" s="20" t="str">
        <f>HYPERLINK("http://www.bing.com/maps/?lvl=14&amp;sty=h&amp;cp=34.1137~44.5059&amp;sp=point.34.1137_44.5059","Maplink3")</f>
        <v>Maplink3</v>
      </c>
    </row>
    <row r="320" spans="1:49" x14ac:dyDescent="0.25">
      <c r="A320" s="9">
        <v>25682</v>
      </c>
      <c r="B320" s="10" t="s">
        <v>13</v>
      </c>
      <c r="C320" s="10" t="s">
        <v>474</v>
      </c>
      <c r="D320" s="10" t="s">
        <v>618</v>
      </c>
      <c r="E320" s="10" t="s">
        <v>619</v>
      </c>
      <c r="F320" s="10">
        <v>34.045498089799999</v>
      </c>
      <c r="G320" s="10">
        <v>44.882053769099997</v>
      </c>
      <c r="H320" s="11">
        <v>250</v>
      </c>
      <c r="I320" s="11">
        <v>1500</v>
      </c>
      <c r="J320" s="11"/>
      <c r="K320" s="11"/>
      <c r="L320" s="11"/>
      <c r="M320" s="11"/>
      <c r="N320" s="11"/>
      <c r="O320" s="11">
        <v>130</v>
      </c>
      <c r="P320" s="11"/>
      <c r="Q320" s="11"/>
      <c r="R320" s="11">
        <v>60</v>
      </c>
      <c r="S320" s="11"/>
      <c r="T320" s="11"/>
      <c r="U320" s="11"/>
      <c r="V320" s="11"/>
      <c r="W320" s="11"/>
      <c r="X320" s="11"/>
      <c r="Y320" s="11">
        <v>60</v>
      </c>
      <c r="Z320" s="11"/>
      <c r="AA320" s="11"/>
      <c r="AB320" s="11"/>
      <c r="AC320" s="11">
        <v>250</v>
      </c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>
        <v>250</v>
      </c>
      <c r="AQ320" s="11"/>
      <c r="AR320" s="11"/>
      <c r="AS320" s="11"/>
      <c r="AT320" s="11"/>
      <c r="AU320" s="20" t="str">
        <f>HYPERLINK("http://www.openstreetmap.org/?mlat=34.0455&amp;mlon=44.8821&amp;zoom=12#map=12/34.0455/44.8821","Maplink1")</f>
        <v>Maplink1</v>
      </c>
      <c r="AV320" s="20" t="str">
        <f>HYPERLINK("https://www.google.iq/maps/search/+34.0455,44.8821/@34.0455,44.8821,14z?hl=en","Maplink2")</f>
        <v>Maplink2</v>
      </c>
      <c r="AW320" s="20" t="str">
        <f>HYPERLINK("http://www.bing.com/maps/?lvl=14&amp;sty=h&amp;cp=34.0455~44.8821&amp;sp=point.34.0455_44.8821","Maplink3")</f>
        <v>Maplink3</v>
      </c>
    </row>
    <row r="321" spans="1:49" x14ac:dyDescent="0.25">
      <c r="A321" s="9">
        <v>25683</v>
      </c>
      <c r="B321" s="10" t="s">
        <v>13</v>
      </c>
      <c r="C321" s="10" t="s">
        <v>474</v>
      </c>
      <c r="D321" s="10" t="s">
        <v>620</v>
      </c>
      <c r="E321" s="10" t="s">
        <v>621</v>
      </c>
      <c r="F321" s="10">
        <v>34.034905369999997</v>
      </c>
      <c r="G321" s="10">
        <v>44.874784589999997</v>
      </c>
      <c r="H321" s="11">
        <v>200</v>
      </c>
      <c r="I321" s="11">
        <v>1200</v>
      </c>
      <c r="J321" s="11"/>
      <c r="K321" s="11"/>
      <c r="L321" s="11"/>
      <c r="M321" s="11"/>
      <c r="N321" s="11"/>
      <c r="O321" s="11">
        <v>126</v>
      </c>
      <c r="P321" s="11"/>
      <c r="Q321" s="11"/>
      <c r="R321" s="11">
        <v>35</v>
      </c>
      <c r="S321" s="11"/>
      <c r="T321" s="11"/>
      <c r="U321" s="11"/>
      <c r="V321" s="11"/>
      <c r="W321" s="11"/>
      <c r="X321" s="11"/>
      <c r="Y321" s="11">
        <v>39</v>
      </c>
      <c r="Z321" s="11"/>
      <c r="AA321" s="11"/>
      <c r="AB321" s="11"/>
      <c r="AC321" s="11">
        <v>200</v>
      </c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>
        <v>200</v>
      </c>
      <c r="AQ321" s="11"/>
      <c r="AR321" s="11"/>
      <c r="AS321" s="11"/>
      <c r="AT321" s="11"/>
      <c r="AU321" s="20" t="str">
        <f>HYPERLINK("http://www.openstreetmap.org/?mlat=34.0349&amp;mlon=44.8748&amp;zoom=12#map=12/34.0349/44.8748","Maplink1")</f>
        <v>Maplink1</v>
      </c>
      <c r="AV321" s="20" t="str">
        <f>HYPERLINK("https://www.google.iq/maps/search/+34.0349,44.8748/@34.0349,44.8748,14z?hl=en","Maplink2")</f>
        <v>Maplink2</v>
      </c>
      <c r="AW321" s="20" t="str">
        <f>HYPERLINK("http://www.bing.com/maps/?lvl=14&amp;sty=h&amp;cp=34.0349~44.8748&amp;sp=point.34.0349_44.8748","Maplink3")</f>
        <v>Maplink3</v>
      </c>
    </row>
    <row r="322" spans="1:49" x14ac:dyDescent="0.25">
      <c r="A322" s="9">
        <v>25684</v>
      </c>
      <c r="B322" s="10" t="s">
        <v>13</v>
      </c>
      <c r="C322" s="10" t="s">
        <v>474</v>
      </c>
      <c r="D322" s="10" t="s">
        <v>622</v>
      </c>
      <c r="E322" s="10" t="s">
        <v>623</v>
      </c>
      <c r="F322" s="10">
        <v>34.039342380000001</v>
      </c>
      <c r="G322" s="10">
        <v>44.879890009999997</v>
      </c>
      <c r="H322" s="11">
        <v>190</v>
      </c>
      <c r="I322" s="11">
        <v>1140</v>
      </c>
      <c r="J322" s="11"/>
      <c r="K322" s="11"/>
      <c r="L322" s="11"/>
      <c r="M322" s="11"/>
      <c r="N322" s="11"/>
      <c r="O322" s="11">
        <v>190</v>
      </c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>
        <v>190</v>
      </c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>
        <v>190</v>
      </c>
      <c r="AQ322" s="11"/>
      <c r="AR322" s="11"/>
      <c r="AS322" s="11"/>
      <c r="AT322" s="11"/>
      <c r="AU322" s="20" t="str">
        <f>HYPERLINK("http://www.openstreetmap.org/?mlat=34.0393&amp;mlon=44.8799&amp;zoom=12#map=12/34.0393/44.8799","Maplink1")</f>
        <v>Maplink1</v>
      </c>
      <c r="AV322" s="20" t="str">
        <f>HYPERLINK("https://www.google.iq/maps/search/+34.0393,44.8799/@34.0393,44.8799,14z?hl=en","Maplink2")</f>
        <v>Maplink2</v>
      </c>
      <c r="AW322" s="20" t="str">
        <f>HYPERLINK("http://www.bing.com/maps/?lvl=14&amp;sty=h&amp;cp=34.0393~44.8799&amp;sp=point.34.0393_44.8799","Maplink3")</f>
        <v>Maplink3</v>
      </c>
    </row>
    <row r="323" spans="1:49" x14ac:dyDescent="0.25">
      <c r="A323" s="9">
        <v>27184</v>
      </c>
      <c r="B323" s="10" t="s">
        <v>13</v>
      </c>
      <c r="C323" s="10" t="s">
        <v>474</v>
      </c>
      <c r="D323" s="10" t="s">
        <v>624</v>
      </c>
      <c r="E323" s="10" t="s">
        <v>625</v>
      </c>
      <c r="F323" s="10">
        <v>34.209923646199996</v>
      </c>
      <c r="G323" s="10">
        <v>44.525292161499998</v>
      </c>
      <c r="H323" s="11">
        <v>22</v>
      </c>
      <c r="I323" s="11">
        <v>132</v>
      </c>
      <c r="J323" s="11"/>
      <c r="K323" s="11"/>
      <c r="L323" s="11"/>
      <c r="M323" s="11"/>
      <c r="N323" s="11"/>
      <c r="O323" s="11"/>
      <c r="P323" s="11"/>
      <c r="Q323" s="11"/>
      <c r="R323" s="11">
        <v>22</v>
      </c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>
        <v>22</v>
      </c>
      <c r="AE323" s="11"/>
      <c r="AF323" s="11"/>
      <c r="AG323" s="11"/>
      <c r="AH323" s="11"/>
      <c r="AI323" s="11"/>
      <c r="AJ323" s="11"/>
      <c r="AK323" s="11"/>
      <c r="AL323" s="11"/>
      <c r="AM323" s="11"/>
      <c r="AN323" s="11">
        <v>22</v>
      </c>
      <c r="AO323" s="11"/>
      <c r="AP323" s="11"/>
      <c r="AQ323" s="11"/>
      <c r="AR323" s="11"/>
      <c r="AS323" s="11"/>
      <c r="AT323" s="11"/>
      <c r="AU323" s="20" t="str">
        <f>HYPERLINK("http://www.openstreetmap.org/?mlat=34.2099&amp;mlon=44.5253&amp;zoom=12#map=12/34.2099/44.5253","Maplink1")</f>
        <v>Maplink1</v>
      </c>
      <c r="AV323" s="20" t="str">
        <f>HYPERLINK("https://www.google.iq/maps/search/+34.2099,44.5253/@34.2099,44.5253,14z?hl=en","Maplink2")</f>
        <v>Maplink2</v>
      </c>
      <c r="AW323" s="20" t="str">
        <f>HYPERLINK("http://www.bing.com/maps/?lvl=14&amp;sty=h&amp;cp=34.2099~44.5253&amp;sp=point.34.2099_44.5253","Maplink3")</f>
        <v>Maplink3</v>
      </c>
    </row>
    <row r="324" spans="1:49" x14ac:dyDescent="0.25">
      <c r="A324" s="9">
        <v>27175</v>
      </c>
      <c r="B324" s="10" t="s">
        <v>13</v>
      </c>
      <c r="C324" s="10" t="s">
        <v>474</v>
      </c>
      <c r="D324" s="10" t="s">
        <v>626</v>
      </c>
      <c r="E324" s="10" t="s">
        <v>627</v>
      </c>
      <c r="F324" s="10">
        <v>34.034625090200002</v>
      </c>
      <c r="G324" s="10">
        <v>44.3173316321</v>
      </c>
      <c r="H324" s="11">
        <v>60</v>
      </c>
      <c r="I324" s="11">
        <v>360</v>
      </c>
      <c r="J324" s="11"/>
      <c r="K324" s="11"/>
      <c r="L324" s="11"/>
      <c r="M324" s="11"/>
      <c r="N324" s="11"/>
      <c r="O324" s="11"/>
      <c r="P324" s="11"/>
      <c r="Q324" s="11"/>
      <c r="R324" s="11">
        <v>60</v>
      </c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>
        <v>60</v>
      </c>
      <c r="AE324" s="11"/>
      <c r="AF324" s="11"/>
      <c r="AG324" s="11"/>
      <c r="AH324" s="11"/>
      <c r="AI324" s="11"/>
      <c r="AJ324" s="11"/>
      <c r="AK324" s="11"/>
      <c r="AL324" s="11"/>
      <c r="AM324" s="11"/>
      <c r="AN324" s="11">
        <v>60</v>
      </c>
      <c r="AO324" s="11"/>
      <c r="AP324" s="11"/>
      <c r="AQ324" s="11"/>
      <c r="AR324" s="11"/>
      <c r="AS324" s="11"/>
      <c r="AT324" s="11"/>
      <c r="AU324" s="20" t="str">
        <f>HYPERLINK("http://www.openstreetmap.org/?mlat=34.0346&amp;mlon=44.3173&amp;zoom=12#map=12/34.0346/44.3173","Maplink1")</f>
        <v>Maplink1</v>
      </c>
      <c r="AV324" s="20" t="str">
        <f>HYPERLINK("https://www.google.iq/maps/search/+34.0346,44.3173/@34.0346,44.3173,14z?hl=en","Maplink2")</f>
        <v>Maplink2</v>
      </c>
      <c r="AW324" s="20" t="str">
        <f>HYPERLINK("http://www.bing.com/maps/?lvl=14&amp;sty=h&amp;cp=34.0346~44.3173&amp;sp=point.34.0346_44.3173","Maplink3")</f>
        <v>Maplink3</v>
      </c>
    </row>
    <row r="325" spans="1:49" x14ac:dyDescent="0.25">
      <c r="A325" s="9">
        <v>27161</v>
      </c>
      <c r="B325" s="10" t="s">
        <v>13</v>
      </c>
      <c r="C325" s="10" t="s">
        <v>474</v>
      </c>
      <c r="D325" s="10" t="s">
        <v>628</v>
      </c>
      <c r="E325" s="10" t="s">
        <v>629</v>
      </c>
      <c r="F325" s="10">
        <v>34.360361213799997</v>
      </c>
      <c r="G325" s="10">
        <v>44.610217867400003</v>
      </c>
      <c r="H325" s="11">
        <v>101</v>
      </c>
      <c r="I325" s="11">
        <v>606</v>
      </c>
      <c r="J325" s="11"/>
      <c r="K325" s="11"/>
      <c r="L325" s="11"/>
      <c r="M325" s="11"/>
      <c r="N325" s="11"/>
      <c r="O325" s="11"/>
      <c r="P325" s="11"/>
      <c r="Q325" s="11"/>
      <c r="R325" s="11">
        <v>101</v>
      </c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>
        <v>101</v>
      </c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>
        <v>101</v>
      </c>
      <c r="AO325" s="11"/>
      <c r="AP325" s="11"/>
      <c r="AQ325" s="11"/>
      <c r="AR325" s="11"/>
      <c r="AS325" s="11"/>
      <c r="AT325" s="11"/>
      <c r="AU325" s="20" t="str">
        <f>HYPERLINK("http://www.openstreetmap.org/?mlat=34.3604&amp;mlon=44.6102&amp;zoom=12#map=12/34.3604/44.6102","Maplink1")</f>
        <v>Maplink1</v>
      </c>
      <c r="AV325" s="20" t="str">
        <f>HYPERLINK("https://www.google.iq/maps/search/+34.3604,44.6102/@34.3604,44.6102,14z?hl=en","Maplink2")</f>
        <v>Maplink2</v>
      </c>
      <c r="AW325" s="20" t="str">
        <f>HYPERLINK("http://www.bing.com/maps/?lvl=14&amp;sty=h&amp;cp=34.3604~44.6102&amp;sp=point.34.3604_44.6102","Maplink3")</f>
        <v>Maplink3</v>
      </c>
    </row>
    <row r="326" spans="1:49" x14ac:dyDescent="0.25">
      <c r="A326" s="9">
        <v>28470</v>
      </c>
      <c r="B326" s="10" t="s">
        <v>13</v>
      </c>
      <c r="C326" s="10" t="s">
        <v>474</v>
      </c>
      <c r="D326" s="10" t="s">
        <v>630</v>
      </c>
      <c r="E326" s="10" t="s">
        <v>631</v>
      </c>
      <c r="F326" s="10">
        <v>34.048256996500001</v>
      </c>
      <c r="G326" s="10">
        <v>44.5420472729</v>
      </c>
      <c r="H326" s="11">
        <v>43</v>
      </c>
      <c r="I326" s="11">
        <v>258</v>
      </c>
      <c r="J326" s="11"/>
      <c r="K326" s="11"/>
      <c r="L326" s="11"/>
      <c r="M326" s="11"/>
      <c r="N326" s="11"/>
      <c r="O326" s="11">
        <v>43</v>
      </c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>
        <v>43</v>
      </c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>
        <v>43</v>
      </c>
      <c r="AO326" s="11"/>
      <c r="AP326" s="11"/>
      <c r="AQ326" s="11"/>
      <c r="AR326" s="11"/>
      <c r="AS326" s="11"/>
      <c r="AT326" s="11"/>
      <c r="AU326" s="20" t="str">
        <f>HYPERLINK("http://www.openstreetmap.org/?mlat=34.0483&amp;mlon=44.542&amp;zoom=12#map=12/34.0483/44.542","Maplink1")</f>
        <v>Maplink1</v>
      </c>
      <c r="AV326" s="20" t="str">
        <f>HYPERLINK("https://www.google.iq/maps/search/+34.0483,44.542/@34.0483,44.542,14z?hl=en","Maplink2")</f>
        <v>Maplink2</v>
      </c>
      <c r="AW326" s="20" t="str">
        <f>HYPERLINK("http://www.bing.com/maps/?lvl=14&amp;sty=h&amp;cp=34.0483~44.542&amp;sp=point.34.0483_44.542","Maplink3")</f>
        <v>Maplink3</v>
      </c>
    </row>
    <row r="327" spans="1:49" x14ac:dyDescent="0.25">
      <c r="A327" s="9">
        <v>27169</v>
      </c>
      <c r="B327" s="10" t="s">
        <v>13</v>
      </c>
      <c r="C327" s="10" t="s">
        <v>474</v>
      </c>
      <c r="D327" s="10" t="s">
        <v>632</v>
      </c>
      <c r="E327" s="10" t="s">
        <v>633</v>
      </c>
      <c r="F327" s="10">
        <v>34.146352329999999</v>
      </c>
      <c r="G327" s="10">
        <v>44.49132899</v>
      </c>
      <c r="H327" s="11">
        <v>7</v>
      </c>
      <c r="I327" s="11">
        <v>42</v>
      </c>
      <c r="J327" s="11"/>
      <c r="K327" s="11"/>
      <c r="L327" s="11"/>
      <c r="M327" s="11"/>
      <c r="N327" s="11"/>
      <c r="O327" s="11"/>
      <c r="P327" s="11"/>
      <c r="Q327" s="11"/>
      <c r="R327" s="11">
        <v>7</v>
      </c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>
        <v>7</v>
      </c>
      <c r="AE327" s="11"/>
      <c r="AF327" s="11"/>
      <c r="AG327" s="11"/>
      <c r="AH327" s="11"/>
      <c r="AI327" s="11"/>
      <c r="AJ327" s="11"/>
      <c r="AK327" s="11"/>
      <c r="AL327" s="11"/>
      <c r="AM327" s="11"/>
      <c r="AN327" s="11">
        <v>7</v>
      </c>
      <c r="AO327" s="11"/>
      <c r="AP327" s="11"/>
      <c r="AQ327" s="11"/>
      <c r="AR327" s="11"/>
      <c r="AS327" s="11"/>
      <c r="AT327" s="11"/>
      <c r="AU327" s="20" t="str">
        <f>HYPERLINK("http://www.openstreetmap.org/?mlat=34.1464&amp;mlon=44.4913&amp;zoom=12#map=12/34.1464/44.4913","Maplink1")</f>
        <v>Maplink1</v>
      </c>
      <c r="AV327" s="20" t="str">
        <f>HYPERLINK("https://www.google.iq/maps/search/+34.1464,44.4913/@34.1464,44.4913,14z?hl=en","Maplink2")</f>
        <v>Maplink2</v>
      </c>
      <c r="AW327" s="20" t="str">
        <f>HYPERLINK("http://www.bing.com/maps/?lvl=14&amp;sty=h&amp;cp=34.1464~44.4913&amp;sp=point.34.1464_44.4913","Maplink3")</f>
        <v>Maplink3</v>
      </c>
    </row>
    <row r="328" spans="1:49" x14ac:dyDescent="0.25">
      <c r="A328" s="9">
        <v>25669</v>
      </c>
      <c r="B328" s="10" t="s">
        <v>13</v>
      </c>
      <c r="C328" s="10" t="s">
        <v>474</v>
      </c>
      <c r="D328" s="10" t="s">
        <v>634</v>
      </c>
      <c r="E328" s="10" t="s">
        <v>635</v>
      </c>
      <c r="F328" s="10">
        <v>34.056919020000002</v>
      </c>
      <c r="G328" s="10">
        <v>44.88446184</v>
      </c>
      <c r="H328" s="11">
        <v>200</v>
      </c>
      <c r="I328" s="11">
        <v>1200</v>
      </c>
      <c r="J328" s="11"/>
      <c r="K328" s="11"/>
      <c r="L328" s="11"/>
      <c r="M328" s="11"/>
      <c r="N328" s="11"/>
      <c r="O328" s="11">
        <v>83</v>
      </c>
      <c r="P328" s="11"/>
      <c r="Q328" s="11"/>
      <c r="R328" s="11">
        <v>45</v>
      </c>
      <c r="S328" s="11"/>
      <c r="T328" s="11"/>
      <c r="U328" s="11"/>
      <c r="V328" s="11"/>
      <c r="W328" s="11"/>
      <c r="X328" s="11"/>
      <c r="Y328" s="11">
        <v>72</v>
      </c>
      <c r="Z328" s="11"/>
      <c r="AA328" s="11"/>
      <c r="AB328" s="11"/>
      <c r="AC328" s="11">
        <v>200</v>
      </c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>
        <v>200</v>
      </c>
      <c r="AQ328" s="11"/>
      <c r="AR328" s="11"/>
      <c r="AS328" s="11"/>
      <c r="AT328" s="11"/>
      <c r="AU328" s="20" t="str">
        <f>HYPERLINK("http://www.openstreetmap.org/?mlat=34.0569&amp;mlon=44.8845&amp;zoom=12#map=12/34.0569/44.8845","Maplink1")</f>
        <v>Maplink1</v>
      </c>
      <c r="AV328" s="20" t="str">
        <f>HYPERLINK("https://www.google.iq/maps/search/+34.0569,44.8845/@34.0569,44.8845,14z?hl=en","Maplink2")</f>
        <v>Maplink2</v>
      </c>
      <c r="AW328" s="20" t="str">
        <f>HYPERLINK("http://www.bing.com/maps/?lvl=14&amp;sty=h&amp;cp=34.0569~44.8845&amp;sp=point.34.0569_44.8845","Maplink3")</f>
        <v>Maplink3</v>
      </c>
    </row>
    <row r="329" spans="1:49" x14ac:dyDescent="0.25">
      <c r="A329" s="9">
        <v>11270</v>
      </c>
      <c r="B329" s="10" t="s">
        <v>13</v>
      </c>
      <c r="C329" s="10" t="s">
        <v>474</v>
      </c>
      <c r="D329" s="10" t="s">
        <v>636</v>
      </c>
      <c r="E329" s="10" t="s">
        <v>637</v>
      </c>
      <c r="F329" s="10">
        <v>34.36468541</v>
      </c>
      <c r="G329" s="10">
        <v>44.601793209999997</v>
      </c>
      <c r="H329" s="11">
        <v>100</v>
      </c>
      <c r="I329" s="11">
        <v>600</v>
      </c>
      <c r="J329" s="11"/>
      <c r="K329" s="11"/>
      <c r="L329" s="11"/>
      <c r="M329" s="11"/>
      <c r="N329" s="11"/>
      <c r="O329" s="11"/>
      <c r="P329" s="11"/>
      <c r="Q329" s="11"/>
      <c r="R329" s="11">
        <v>100</v>
      </c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>
        <v>100</v>
      </c>
      <c r="AE329" s="11"/>
      <c r="AF329" s="11"/>
      <c r="AG329" s="11"/>
      <c r="AH329" s="11"/>
      <c r="AI329" s="11"/>
      <c r="AJ329" s="11"/>
      <c r="AK329" s="11"/>
      <c r="AL329" s="11"/>
      <c r="AM329" s="11"/>
      <c r="AN329" s="11">
        <v>100</v>
      </c>
      <c r="AO329" s="11"/>
      <c r="AP329" s="11"/>
      <c r="AQ329" s="11"/>
      <c r="AR329" s="11"/>
      <c r="AS329" s="11"/>
      <c r="AT329" s="11"/>
      <c r="AU329" s="20" t="str">
        <f>HYPERLINK("http://www.openstreetmap.org/?mlat=34.3647&amp;mlon=44.6018&amp;zoom=12#map=12/34.3647/44.6018","Maplink1")</f>
        <v>Maplink1</v>
      </c>
      <c r="AV329" s="20" t="str">
        <f>HYPERLINK("https://www.google.iq/maps/search/+34.3647,44.6018/@34.3647,44.6018,14z?hl=en","Maplink2")</f>
        <v>Maplink2</v>
      </c>
      <c r="AW329" s="20" t="str">
        <f>HYPERLINK("http://www.bing.com/maps/?lvl=14&amp;sty=h&amp;cp=34.3647~44.6018&amp;sp=point.34.3647_44.6018","Maplink3")</f>
        <v>Maplink3</v>
      </c>
    </row>
    <row r="330" spans="1:49" x14ac:dyDescent="0.25">
      <c r="A330" s="9">
        <v>27180</v>
      </c>
      <c r="B330" s="10" t="s">
        <v>13</v>
      </c>
      <c r="C330" s="10" t="s">
        <v>474</v>
      </c>
      <c r="D330" s="10" t="s">
        <v>638</v>
      </c>
      <c r="E330" s="10" t="s">
        <v>639</v>
      </c>
      <c r="F330" s="10">
        <v>34.211755480000001</v>
      </c>
      <c r="G330" s="10">
        <v>44.48603335</v>
      </c>
      <c r="H330" s="11">
        <v>140</v>
      </c>
      <c r="I330" s="11">
        <v>840</v>
      </c>
      <c r="J330" s="11"/>
      <c r="K330" s="11"/>
      <c r="L330" s="11"/>
      <c r="M330" s="11"/>
      <c r="N330" s="11"/>
      <c r="O330" s="11">
        <v>60</v>
      </c>
      <c r="P330" s="11"/>
      <c r="Q330" s="11"/>
      <c r="R330" s="11">
        <v>80</v>
      </c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>
        <v>140</v>
      </c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>
        <v>140</v>
      </c>
      <c r="AO330" s="11"/>
      <c r="AP330" s="11"/>
      <c r="AQ330" s="11"/>
      <c r="AR330" s="11"/>
      <c r="AS330" s="11"/>
      <c r="AT330" s="11"/>
      <c r="AU330" s="20" t="str">
        <f>HYPERLINK("http://www.openstreetmap.org/?mlat=34.2118&amp;mlon=44.486&amp;zoom=12#map=12/34.2118/44.486","Maplink1")</f>
        <v>Maplink1</v>
      </c>
      <c r="AV330" s="20" t="str">
        <f>HYPERLINK("https://www.google.iq/maps/search/+34.2118,44.486/@34.2118,44.486,14z?hl=en","Maplink2")</f>
        <v>Maplink2</v>
      </c>
      <c r="AW330" s="20" t="str">
        <f>HYPERLINK("http://www.bing.com/maps/?lvl=14&amp;sty=h&amp;cp=34.2118~44.486&amp;sp=point.34.2118_44.486","Maplink3")</f>
        <v>Maplink3</v>
      </c>
    </row>
    <row r="331" spans="1:49" x14ac:dyDescent="0.25">
      <c r="A331" s="9">
        <v>26030</v>
      </c>
      <c r="B331" s="10" t="s">
        <v>13</v>
      </c>
      <c r="C331" s="10" t="s">
        <v>640</v>
      </c>
      <c r="D331" s="10" t="s">
        <v>641</v>
      </c>
      <c r="E331" s="10" t="s">
        <v>642</v>
      </c>
      <c r="F331" s="10">
        <v>34.030996978399997</v>
      </c>
      <c r="G331" s="10">
        <v>44.945478252999997</v>
      </c>
      <c r="H331" s="11">
        <v>169</v>
      </c>
      <c r="I331" s="11">
        <v>1014</v>
      </c>
      <c r="J331" s="11"/>
      <c r="K331" s="11"/>
      <c r="L331" s="11"/>
      <c r="M331" s="11"/>
      <c r="N331" s="11"/>
      <c r="O331" s="11">
        <v>169</v>
      </c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>
        <v>39</v>
      </c>
      <c r="AD331" s="11"/>
      <c r="AE331" s="11"/>
      <c r="AF331" s="11"/>
      <c r="AG331" s="11"/>
      <c r="AH331" s="11"/>
      <c r="AI331" s="11"/>
      <c r="AJ331" s="11"/>
      <c r="AK331" s="11">
        <v>130</v>
      </c>
      <c r="AL331" s="11"/>
      <c r="AM331" s="11"/>
      <c r="AN331" s="11"/>
      <c r="AO331" s="11"/>
      <c r="AP331" s="11">
        <v>169</v>
      </c>
      <c r="AQ331" s="11"/>
      <c r="AR331" s="11"/>
      <c r="AS331" s="11"/>
      <c r="AT331" s="11"/>
      <c r="AU331" s="20" t="str">
        <f>HYPERLINK("http://www.openstreetmap.org/?mlat=34.031&amp;mlon=44.9455&amp;zoom=12#map=12/34.031/44.9455","Maplink1")</f>
        <v>Maplink1</v>
      </c>
      <c r="AV331" s="20" t="str">
        <f>HYPERLINK("https://www.google.iq/maps/search/+34.031,44.9455/@34.031,44.9455,14z?hl=en","Maplink2")</f>
        <v>Maplink2</v>
      </c>
      <c r="AW331" s="20" t="str">
        <f>HYPERLINK("http://www.bing.com/maps/?lvl=14&amp;sty=h&amp;cp=34.031~44.9455&amp;sp=point.34.031_44.9455","Maplink3")</f>
        <v>Maplink3</v>
      </c>
    </row>
    <row r="332" spans="1:49" x14ac:dyDescent="0.25">
      <c r="A332" s="9">
        <v>11358</v>
      </c>
      <c r="B332" s="10" t="s">
        <v>13</v>
      </c>
      <c r="C332" s="10" t="s">
        <v>640</v>
      </c>
      <c r="D332" s="10" t="s">
        <v>643</v>
      </c>
      <c r="E332" s="10" t="s">
        <v>644</v>
      </c>
      <c r="F332" s="10">
        <v>34.030392921999997</v>
      </c>
      <c r="G332" s="10">
        <v>44.944363330000002</v>
      </c>
      <c r="H332" s="11">
        <v>113</v>
      </c>
      <c r="I332" s="11">
        <v>678</v>
      </c>
      <c r="J332" s="11"/>
      <c r="K332" s="11"/>
      <c r="L332" s="11">
        <v>10</v>
      </c>
      <c r="M332" s="11"/>
      <c r="N332" s="11"/>
      <c r="O332" s="11">
        <v>103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>
        <v>113</v>
      </c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>
        <v>113</v>
      </c>
      <c r="AO332" s="11"/>
      <c r="AP332" s="11"/>
      <c r="AQ332" s="11"/>
      <c r="AR332" s="11"/>
      <c r="AS332" s="11"/>
      <c r="AT332" s="11"/>
      <c r="AU332" s="20" t="str">
        <f>HYPERLINK("http://www.openstreetmap.org/?mlat=34.0304&amp;mlon=44.9444&amp;zoom=12#map=12/34.0304/44.9444","Maplink1")</f>
        <v>Maplink1</v>
      </c>
      <c r="AV332" s="20" t="str">
        <f>HYPERLINK("https://www.google.iq/maps/search/+34.0304,44.9444/@34.0304,44.9444,14z?hl=en","Maplink2")</f>
        <v>Maplink2</v>
      </c>
      <c r="AW332" s="20" t="str">
        <f>HYPERLINK("http://www.bing.com/maps/?lvl=14&amp;sty=h&amp;cp=34.0304~44.9444&amp;sp=point.34.0304_44.9444","Maplink3")</f>
        <v>Maplink3</v>
      </c>
    </row>
    <row r="333" spans="1:49" x14ac:dyDescent="0.25">
      <c r="A333" s="9">
        <v>25657</v>
      </c>
      <c r="B333" s="10" t="s">
        <v>13</v>
      </c>
      <c r="C333" s="10" t="s">
        <v>640</v>
      </c>
      <c r="D333" s="10" t="s">
        <v>645</v>
      </c>
      <c r="E333" s="10" t="s">
        <v>646</v>
      </c>
      <c r="F333" s="10">
        <v>34.005390760899999</v>
      </c>
      <c r="G333" s="10">
        <v>44.876882398200003</v>
      </c>
      <c r="H333" s="11">
        <v>205</v>
      </c>
      <c r="I333" s="11">
        <v>1230</v>
      </c>
      <c r="J333" s="11"/>
      <c r="K333" s="11"/>
      <c r="L333" s="11"/>
      <c r="M333" s="11"/>
      <c r="N333" s="11"/>
      <c r="O333" s="11">
        <v>205</v>
      </c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>
        <v>105</v>
      </c>
      <c r="AD333" s="11"/>
      <c r="AE333" s="11"/>
      <c r="AF333" s="11"/>
      <c r="AG333" s="11"/>
      <c r="AH333" s="11"/>
      <c r="AI333" s="11"/>
      <c r="AJ333" s="11"/>
      <c r="AK333" s="11">
        <v>100</v>
      </c>
      <c r="AL333" s="11"/>
      <c r="AM333" s="11"/>
      <c r="AN333" s="11"/>
      <c r="AO333" s="11"/>
      <c r="AP333" s="11">
        <v>205</v>
      </c>
      <c r="AQ333" s="11"/>
      <c r="AR333" s="11"/>
      <c r="AS333" s="11"/>
      <c r="AT333" s="11"/>
      <c r="AU333" s="20" t="str">
        <f>HYPERLINK("http://www.openstreetmap.org/?mlat=34.0054&amp;mlon=44.8769&amp;zoom=12#map=12/34.0054/44.8769","Maplink1")</f>
        <v>Maplink1</v>
      </c>
      <c r="AV333" s="20" t="str">
        <f>HYPERLINK("https://www.google.iq/maps/search/+34.0054,44.8769/@34.0054,44.8769,14z?hl=en","Maplink2")</f>
        <v>Maplink2</v>
      </c>
      <c r="AW333" s="20" t="str">
        <f>HYPERLINK("http://www.bing.com/maps/?lvl=14&amp;sty=h&amp;cp=34.0054~44.8769&amp;sp=point.34.0054_44.8769","Maplink3")</f>
        <v>Maplink3</v>
      </c>
    </row>
    <row r="334" spans="1:49" x14ac:dyDescent="0.25">
      <c r="A334" s="9">
        <v>25981</v>
      </c>
      <c r="B334" s="10" t="s">
        <v>13</v>
      </c>
      <c r="C334" s="10" t="s">
        <v>640</v>
      </c>
      <c r="D334" s="10" t="s">
        <v>647</v>
      </c>
      <c r="E334" s="10" t="s">
        <v>648</v>
      </c>
      <c r="F334" s="10">
        <v>34.0302786819</v>
      </c>
      <c r="G334" s="10">
        <v>44.944216706699997</v>
      </c>
      <c r="H334" s="11">
        <v>326</v>
      </c>
      <c r="I334" s="11">
        <v>1956</v>
      </c>
      <c r="J334" s="11"/>
      <c r="K334" s="11"/>
      <c r="L334" s="11"/>
      <c r="M334" s="11"/>
      <c r="N334" s="11"/>
      <c r="O334" s="11">
        <v>235</v>
      </c>
      <c r="P334" s="11"/>
      <c r="Q334" s="11"/>
      <c r="R334" s="11">
        <v>82</v>
      </c>
      <c r="S334" s="11"/>
      <c r="T334" s="11"/>
      <c r="U334" s="11"/>
      <c r="V334" s="11"/>
      <c r="W334" s="11"/>
      <c r="X334" s="11"/>
      <c r="Y334" s="11">
        <v>9</v>
      </c>
      <c r="Z334" s="11"/>
      <c r="AA334" s="11"/>
      <c r="AB334" s="11"/>
      <c r="AC334" s="11">
        <v>165</v>
      </c>
      <c r="AD334" s="11"/>
      <c r="AE334" s="11"/>
      <c r="AF334" s="11"/>
      <c r="AG334" s="11"/>
      <c r="AH334" s="11"/>
      <c r="AI334" s="11"/>
      <c r="AJ334" s="11"/>
      <c r="AK334" s="11">
        <v>161</v>
      </c>
      <c r="AL334" s="11"/>
      <c r="AM334" s="11"/>
      <c r="AN334" s="11">
        <v>70</v>
      </c>
      <c r="AO334" s="11"/>
      <c r="AP334" s="11">
        <v>256</v>
      </c>
      <c r="AQ334" s="11"/>
      <c r="AR334" s="11"/>
      <c r="AS334" s="11"/>
      <c r="AT334" s="11"/>
      <c r="AU334" s="20" t="str">
        <f>HYPERLINK("http://www.openstreetmap.org/?mlat=34.0303&amp;mlon=44.9442&amp;zoom=12#map=12/34.0303/44.9442","Maplink1")</f>
        <v>Maplink1</v>
      </c>
      <c r="AV334" s="20" t="str">
        <f>HYPERLINK("https://www.google.iq/maps/search/+34.0303,44.9442/@34.0303,44.9442,14z?hl=en","Maplink2")</f>
        <v>Maplink2</v>
      </c>
      <c r="AW334" s="20" t="str">
        <f>HYPERLINK("http://www.bing.com/maps/?lvl=14&amp;sty=h&amp;cp=34.0303~44.9442&amp;sp=point.34.0303_44.9442","Maplink3")</f>
        <v>Maplink3</v>
      </c>
    </row>
    <row r="335" spans="1:49" x14ac:dyDescent="0.25">
      <c r="A335" s="9">
        <v>25624</v>
      </c>
      <c r="B335" s="10" t="s">
        <v>13</v>
      </c>
      <c r="C335" s="10" t="s">
        <v>640</v>
      </c>
      <c r="D335" s="10" t="s">
        <v>649</v>
      </c>
      <c r="E335" s="10" t="s">
        <v>650</v>
      </c>
      <c r="F335" s="10">
        <v>34.014000000000003</v>
      </c>
      <c r="G335" s="10">
        <v>45.019799999999996</v>
      </c>
      <c r="H335" s="11">
        <v>8</v>
      </c>
      <c r="I335" s="11">
        <v>48</v>
      </c>
      <c r="J335" s="11"/>
      <c r="K335" s="11"/>
      <c r="L335" s="11"/>
      <c r="M335" s="11"/>
      <c r="N335" s="11"/>
      <c r="O335" s="11"/>
      <c r="P335" s="11"/>
      <c r="Q335" s="11"/>
      <c r="R335" s="11">
        <v>8</v>
      </c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>
        <v>8</v>
      </c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>
        <v>8</v>
      </c>
      <c r="AO335" s="11"/>
      <c r="AP335" s="11"/>
      <c r="AQ335" s="11"/>
      <c r="AR335" s="11"/>
      <c r="AS335" s="11"/>
      <c r="AT335" s="11"/>
      <c r="AU335" s="20" t="str">
        <f>HYPERLINK("http://www.openstreetmap.org/?mlat=34.014&amp;mlon=45.0198&amp;zoom=12#map=12/34.014/45.0198","Maplink1")</f>
        <v>Maplink1</v>
      </c>
      <c r="AV335" s="20" t="str">
        <f>HYPERLINK("https://www.google.iq/maps/search/+34.014,45.0198/@34.014,45.0198,14z?hl=en","Maplink2")</f>
        <v>Maplink2</v>
      </c>
      <c r="AW335" s="20" t="str">
        <f>HYPERLINK("http://www.bing.com/maps/?lvl=14&amp;sty=h&amp;cp=34.014~45.0198&amp;sp=point.34.014_45.0198","Maplink3")</f>
        <v>Maplink3</v>
      </c>
    </row>
    <row r="336" spans="1:49" x14ac:dyDescent="0.25">
      <c r="A336" s="9">
        <v>29674</v>
      </c>
      <c r="B336" s="10" t="s">
        <v>13</v>
      </c>
      <c r="C336" s="10" t="s">
        <v>640</v>
      </c>
      <c r="D336" s="10" t="s">
        <v>481</v>
      </c>
      <c r="E336" s="10" t="s">
        <v>482</v>
      </c>
      <c r="F336" s="10">
        <v>34.008339999999997</v>
      </c>
      <c r="G336" s="10">
        <v>44.894758000000003</v>
      </c>
      <c r="H336" s="11">
        <v>51</v>
      </c>
      <c r="I336" s="11">
        <v>306</v>
      </c>
      <c r="J336" s="11"/>
      <c r="K336" s="11"/>
      <c r="L336" s="11">
        <v>9</v>
      </c>
      <c r="M336" s="11"/>
      <c r="N336" s="11"/>
      <c r="O336" s="11">
        <v>42</v>
      </c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>
        <v>51</v>
      </c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>
        <v>51</v>
      </c>
      <c r="AO336" s="11"/>
      <c r="AP336" s="11"/>
      <c r="AQ336" s="11"/>
      <c r="AR336" s="11"/>
      <c r="AS336" s="11"/>
      <c r="AT336" s="11"/>
      <c r="AU336" s="20" t="str">
        <f>HYPERLINK("http://www.openstreetmap.org/?mlat=34.0083&amp;mlon=44.8948&amp;zoom=12#map=12/34.0083/44.8948","Maplink1")</f>
        <v>Maplink1</v>
      </c>
      <c r="AV336" s="20" t="str">
        <f>HYPERLINK("https://www.google.iq/maps/search/+34.0083,44.8948/@34.0083,44.8948,14z?hl=en","Maplink2")</f>
        <v>Maplink2</v>
      </c>
      <c r="AW336" s="20" t="str">
        <f>HYPERLINK("http://www.bing.com/maps/?lvl=14&amp;sty=h&amp;cp=34.0083~44.8948&amp;sp=point.34.0083_44.8948","Maplink3")</f>
        <v>Maplink3</v>
      </c>
    </row>
    <row r="337" spans="1:49" x14ac:dyDescent="0.25">
      <c r="A337" s="9">
        <v>25660</v>
      </c>
      <c r="B337" s="10" t="s">
        <v>13</v>
      </c>
      <c r="C337" s="10" t="s">
        <v>640</v>
      </c>
      <c r="D337" s="10" t="s">
        <v>651</v>
      </c>
      <c r="E337" s="10" t="s">
        <v>652</v>
      </c>
      <c r="F337" s="10">
        <v>34.015483581399998</v>
      </c>
      <c r="G337" s="10">
        <v>44.909195265400001</v>
      </c>
      <c r="H337" s="11">
        <v>93</v>
      </c>
      <c r="I337" s="11">
        <v>558</v>
      </c>
      <c r="J337" s="11">
        <v>55</v>
      </c>
      <c r="K337" s="11"/>
      <c r="L337" s="11"/>
      <c r="M337" s="11"/>
      <c r="N337" s="11"/>
      <c r="O337" s="11">
        <v>28</v>
      </c>
      <c r="P337" s="11"/>
      <c r="Q337" s="11"/>
      <c r="R337" s="11"/>
      <c r="S337" s="11"/>
      <c r="T337" s="11"/>
      <c r="U337" s="11"/>
      <c r="V337" s="11"/>
      <c r="W337" s="11"/>
      <c r="X337" s="11"/>
      <c r="Y337" s="11">
        <v>10</v>
      </c>
      <c r="Z337" s="11"/>
      <c r="AA337" s="11"/>
      <c r="AB337" s="11"/>
      <c r="AC337" s="11">
        <v>55</v>
      </c>
      <c r="AD337" s="11"/>
      <c r="AE337" s="11"/>
      <c r="AF337" s="11"/>
      <c r="AG337" s="11"/>
      <c r="AH337" s="11"/>
      <c r="AI337" s="11"/>
      <c r="AJ337" s="11"/>
      <c r="AK337" s="11">
        <v>38</v>
      </c>
      <c r="AL337" s="11"/>
      <c r="AM337" s="11"/>
      <c r="AN337" s="11"/>
      <c r="AO337" s="11"/>
      <c r="AP337" s="11">
        <v>93</v>
      </c>
      <c r="AQ337" s="11"/>
      <c r="AR337" s="11"/>
      <c r="AS337" s="11"/>
      <c r="AT337" s="11"/>
      <c r="AU337" s="20" t="str">
        <f>HYPERLINK("http://www.openstreetmap.org/?mlat=34.0155&amp;mlon=44.9092&amp;zoom=12#map=12/34.0155/44.9092","Maplink1")</f>
        <v>Maplink1</v>
      </c>
      <c r="AV337" s="20" t="str">
        <f>HYPERLINK("https://www.google.iq/maps/search/+34.0155,44.9092/@34.0155,44.9092,14z?hl=en","Maplink2")</f>
        <v>Maplink2</v>
      </c>
      <c r="AW337" s="20" t="str">
        <f>HYPERLINK("http://www.bing.com/maps/?lvl=14&amp;sty=h&amp;cp=34.0155~44.9092&amp;sp=point.34.0155_44.9092","Maplink3")</f>
        <v>Maplink3</v>
      </c>
    </row>
    <row r="338" spans="1:49" x14ac:dyDescent="0.25">
      <c r="A338" s="9">
        <v>32020</v>
      </c>
      <c r="B338" s="10" t="s">
        <v>13</v>
      </c>
      <c r="C338" s="10" t="s">
        <v>640</v>
      </c>
      <c r="D338" s="10" t="s">
        <v>653</v>
      </c>
      <c r="E338" s="10" t="s">
        <v>654</v>
      </c>
      <c r="F338" s="10">
        <v>33.989910000000002</v>
      </c>
      <c r="G338" s="10">
        <v>44.91675</v>
      </c>
      <c r="H338" s="11">
        <v>59</v>
      </c>
      <c r="I338" s="11">
        <v>354</v>
      </c>
      <c r="J338" s="11"/>
      <c r="K338" s="11"/>
      <c r="L338" s="11"/>
      <c r="M338" s="11"/>
      <c r="N338" s="11"/>
      <c r="O338" s="11">
        <v>50</v>
      </c>
      <c r="P338" s="11"/>
      <c r="Q338" s="11"/>
      <c r="R338" s="11">
        <v>5</v>
      </c>
      <c r="S338" s="11"/>
      <c r="T338" s="11"/>
      <c r="U338" s="11"/>
      <c r="V338" s="11"/>
      <c r="W338" s="11"/>
      <c r="X338" s="11"/>
      <c r="Y338" s="11">
        <v>4</v>
      </c>
      <c r="Z338" s="11"/>
      <c r="AA338" s="11"/>
      <c r="AB338" s="11"/>
      <c r="AC338" s="11">
        <v>45</v>
      </c>
      <c r="AD338" s="11"/>
      <c r="AE338" s="11"/>
      <c r="AF338" s="11"/>
      <c r="AG338" s="11"/>
      <c r="AH338" s="11"/>
      <c r="AI338" s="11"/>
      <c r="AJ338" s="11"/>
      <c r="AK338" s="11">
        <v>14</v>
      </c>
      <c r="AL338" s="11"/>
      <c r="AM338" s="11"/>
      <c r="AN338" s="11">
        <v>59</v>
      </c>
      <c r="AO338" s="11"/>
      <c r="AP338" s="11"/>
      <c r="AQ338" s="11"/>
      <c r="AR338" s="11"/>
      <c r="AS338" s="11"/>
      <c r="AT338" s="11"/>
      <c r="AU338" s="20" t="str">
        <f>HYPERLINK("http://www.openstreetmap.org/?mlat=33.9899&amp;mlon=44.9168&amp;zoom=12#map=12/33.9899/44.9168","Maplink1")</f>
        <v>Maplink1</v>
      </c>
      <c r="AV338" s="20" t="str">
        <f>HYPERLINK("https://www.google.iq/maps/search/+33.9899,44.9168/@33.9899,44.9168,14z?hl=en","Maplink2")</f>
        <v>Maplink2</v>
      </c>
      <c r="AW338" s="20" t="str">
        <f>HYPERLINK("http://www.bing.com/maps/?lvl=14&amp;sty=h&amp;cp=33.9899~44.9168&amp;sp=point.33.9899_44.9168","Maplink3")</f>
        <v>Maplink3</v>
      </c>
    </row>
    <row r="339" spans="1:49" x14ac:dyDescent="0.25">
      <c r="A339" s="9">
        <v>32078</v>
      </c>
      <c r="B339" s="10" t="s">
        <v>13</v>
      </c>
      <c r="C339" s="10" t="s">
        <v>640</v>
      </c>
      <c r="D339" s="10" t="s">
        <v>655</v>
      </c>
      <c r="E339" s="10" t="s">
        <v>656</v>
      </c>
      <c r="F339" s="10">
        <v>34.01972</v>
      </c>
      <c r="G339" s="10">
        <v>44.996670000000002</v>
      </c>
      <c r="H339" s="11">
        <v>6</v>
      </c>
      <c r="I339" s="11">
        <v>36</v>
      </c>
      <c r="J339" s="11"/>
      <c r="K339" s="11"/>
      <c r="L339" s="11"/>
      <c r="M339" s="11"/>
      <c r="N339" s="11"/>
      <c r="O339" s="11"/>
      <c r="P339" s="11"/>
      <c r="Q339" s="11"/>
      <c r="R339" s="11">
        <v>6</v>
      </c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>
        <v>6</v>
      </c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>
        <v>6</v>
      </c>
      <c r="AO339" s="11"/>
      <c r="AP339" s="11"/>
      <c r="AQ339" s="11"/>
      <c r="AR339" s="11"/>
      <c r="AS339" s="11"/>
      <c r="AT339" s="11"/>
      <c r="AU339" s="20" t="str">
        <f>HYPERLINK("http://www.openstreetmap.org/?mlat=34.0197&amp;mlon=44.9967&amp;zoom=12#map=12/34.0197/44.9967","Maplink1")</f>
        <v>Maplink1</v>
      </c>
      <c r="AV339" s="20" t="str">
        <f>HYPERLINK("https://www.google.iq/maps/search/+34.0197,44.9967/@34.0197,44.9967,14z?hl=en","Maplink2")</f>
        <v>Maplink2</v>
      </c>
      <c r="AW339" s="20" t="str">
        <f>HYPERLINK("http://www.bing.com/maps/?lvl=14&amp;sty=h&amp;cp=34.0197~44.9967&amp;sp=point.34.0197_44.9967","Maplink3")</f>
        <v>Maplink3</v>
      </c>
    </row>
    <row r="340" spans="1:49" x14ac:dyDescent="0.25">
      <c r="A340" s="9">
        <v>25825</v>
      </c>
      <c r="B340" s="10" t="s">
        <v>13</v>
      </c>
      <c r="C340" s="10" t="s">
        <v>640</v>
      </c>
      <c r="D340" s="10" t="s">
        <v>657</v>
      </c>
      <c r="E340" s="10" t="s">
        <v>658</v>
      </c>
      <c r="F340" s="10">
        <v>34.005345628800001</v>
      </c>
      <c r="G340" s="10">
        <v>44.886483795300002</v>
      </c>
      <c r="H340" s="11">
        <v>56</v>
      </c>
      <c r="I340" s="11">
        <v>336</v>
      </c>
      <c r="J340" s="11"/>
      <c r="K340" s="11"/>
      <c r="L340" s="11"/>
      <c r="M340" s="11"/>
      <c r="N340" s="11"/>
      <c r="O340" s="11">
        <v>51</v>
      </c>
      <c r="P340" s="11"/>
      <c r="Q340" s="11"/>
      <c r="R340" s="11">
        <v>5</v>
      </c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>
        <v>25</v>
      </c>
      <c r="AD340" s="11"/>
      <c r="AE340" s="11"/>
      <c r="AF340" s="11"/>
      <c r="AG340" s="11"/>
      <c r="AH340" s="11"/>
      <c r="AI340" s="11"/>
      <c r="AJ340" s="11"/>
      <c r="AK340" s="11">
        <v>31</v>
      </c>
      <c r="AL340" s="11"/>
      <c r="AM340" s="11"/>
      <c r="AN340" s="11">
        <v>56</v>
      </c>
      <c r="AO340" s="11"/>
      <c r="AP340" s="11"/>
      <c r="AQ340" s="11"/>
      <c r="AR340" s="11"/>
      <c r="AS340" s="11"/>
      <c r="AT340" s="11"/>
      <c r="AU340" s="20" t="str">
        <f>HYPERLINK("http://www.openstreetmap.org/?mlat=34.0053&amp;mlon=44.8865&amp;zoom=12#map=12/34.0053/44.8865","Maplink1")</f>
        <v>Maplink1</v>
      </c>
      <c r="AV340" s="20" t="str">
        <f>HYPERLINK("https://www.google.iq/maps/search/+34.0053,44.8865/@34.0053,44.8865,14z?hl=en","Maplink2")</f>
        <v>Maplink2</v>
      </c>
      <c r="AW340" s="20" t="str">
        <f>HYPERLINK("http://www.bing.com/maps/?lvl=14&amp;sty=h&amp;cp=34.0053~44.8865&amp;sp=point.34.0053_44.8865","Maplink3")</f>
        <v>Maplink3</v>
      </c>
    </row>
    <row r="341" spans="1:49" x14ac:dyDescent="0.25">
      <c r="A341" s="9">
        <v>11442</v>
      </c>
      <c r="B341" s="10" t="s">
        <v>13</v>
      </c>
      <c r="C341" s="10" t="s">
        <v>640</v>
      </c>
      <c r="D341" s="10" t="s">
        <v>659</v>
      </c>
      <c r="E341" s="10" t="s">
        <v>660</v>
      </c>
      <c r="F341" s="10">
        <v>34.052563999999997</v>
      </c>
      <c r="G341" s="10">
        <v>44.931249000000001</v>
      </c>
      <c r="H341" s="11">
        <v>385</v>
      </c>
      <c r="I341" s="11">
        <v>2310</v>
      </c>
      <c r="J341" s="11"/>
      <c r="K341" s="11"/>
      <c r="L341" s="11"/>
      <c r="M341" s="11"/>
      <c r="N341" s="11"/>
      <c r="O341" s="11">
        <v>305</v>
      </c>
      <c r="P341" s="11"/>
      <c r="Q341" s="11"/>
      <c r="R341" s="11">
        <v>80</v>
      </c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>
        <v>385</v>
      </c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>
        <v>385</v>
      </c>
      <c r="AO341" s="11"/>
      <c r="AP341" s="11"/>
      <c r="AQ341" s="11"/>
      <c r="AR341" s="11"/>
      <c r="AS341" s="11"/>
      <c r="AT341" s="11"/>
      <c r="AU341" s="20" t="str">
        <f>HYPERLINK("http://www.openstreetmap.org/?mlat=34.0526&amp;mlon=44.9312&amp;zoom=12#map=12/34.0526/44.9312","Maplink1")</f>
        <v>Maplink1</v>
      </c>
      <c r="AV341" s="20" t="str">
        <f>HYPERLINK("https://www.google.iq/maps/search/+34.0526,44.9312/@34.0526,44.9312,14z?hl=en","Maplink2")</f>
        <v>Maplink2</v>
      </c>
      <c r="AW341" s="20" t="str">
        <f>HYPERLINK("http://www.bing.com/maps/?lvl=14&amp;sty=h&amp;cp=34.0526~44.9312&amp;sp=point.34.0526_44.9312","Maplink3")</f>
        <v>Maplink3</v>
      </c>
    </row>
    <row r="342" spans="1:49" x14ac:dyDescent="0.25">
      <c r="A342" s="9">
        <v>11329</v>
      </c>
      <c r="B342" s="10" t="s">
        <v>13</v>
      </c>
      <c r="C342" s="10" t="s">
        <v>640</v>
      </c>
      <c r="D342" s="10" t="s">
        <v>661</v>
      </c>
      <c r="E342" s="10" t="s">
        <v>662</v>
      </c>
      <c r="F342" s="10">
        <v>33.9988744045</v>
      </c>
      <c r="G342" s="10">
        <v>44.941114199700003</v>
      </c>
      <c r="H342" s="11">
        <v>70</v>
      </c>
      <c r="I342" s="11">
        <v>420</v>
      </c>
      <c r="J342" s="11"/>
      <c r="K342" s="11"/>
      <c r="L342" s="11"/>
      <c r="M342" s="11"/>
      <c r="N342" s="11"/>
      <c r="O342" s="11">
        <v>50</v>
      </c>
      <c r="P342" s="11"/>
      <c r="Q342" s="11"/>
      <c r="R342" s="11">
        <v>20</v>
      </c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>
        <v>70</v>
      </c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>
        <v>20</v>
      </c>
      <c r="AO342" s="11"/>
      <c r="AP342" s="11">
        <v>50</v>
      </c>
      <c r="AQ342" s="11"/>
      <c r="AR342" s="11"/>
      <c r="AS342" s="11"/>
      <c r="AT342" s="11"/>
      <c r="AU342" s="20" t="str">
        <f>HYPERLINK("http://www.openstreetmap.org/?mlat=33.9989&amp;mlon=44.9411&amp;zoom=12#map=12/33.9989/44.9411","Maplink1")</f>
        <v>Maplink1</v>
      </c>
      <c r="AV342" s="20" t="str">
        <f>HYPERLINK("https://www.google.iq/maps/search/+33.9989,44.9411/@33.9989,44.9411,14z?hl=en","Maplink2")</f>
        <v>Maplink2</v>
      </c>
      <c r="AW342" s="20" t="str">
        <f>HYPERLINK("http://www.bing.com/maps/?lvl=14&amp;sty=h&amp;cp=33.9989~44.9411&amp;sp=point.33.9989_44.9411","Maplink3")</f>
        <v>Maplink3</v>
      </c>
    </row>
    <row r="343" spans="1:49" x14ac:dyDescent="0.25">
      <c r="A343" s="9">
        <v>29659</v>
      </c>
      <c r="B343" s="10" t="s">
        <v>13</v>
      </c>
      <c r="C343" s="10" t="s">
        <v>640</v>
      </c>
      <c r="D343" s="10" t="s">
        <v>663</v>
      </c>
      <c r="E343" s="10" t="s">
        <v>664</v>
      </c>
      <c r="F343" s="10">
        <v>34.002205919799998</v>
      </c>
      <c r="G343" s="10">
        <v>44.941315466200003</v>
      </c>
      <c r="H343" s="11">
        <v>77</v>
      </c>
      <c r="I343" s="11">
        <v>462</v>
      </c>
      <c r="J343" s="11"/>
      <c r="K343" s="11"/>
      <c r="L343" s="11"/>
      <c r="M343" s="11"/>
      <c r="N343" s="11"/>
      <c r="O343" s="11">
        <v>47</v>
      </c>
      <c r="P343" s="11"/>
      <c r="Q343" s="11"/>
      <c r="R343" s="11">
        <v>30</v>
      </c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>
        <v>50</v>
      </c>
      <c r="AD343" s="11"/>
      <c r="AE343" s="11"/>
      <c r="AF343" s="11"/>
      <c r="AG343" s="11"/>
      <c r="AH343" s="11"/>
      <c r="AI343" s="11"/>
      <c r="AJ343" s="11"/>
      <c r="AK343" s="11">
        <v>27</v>
      </c>
      <c r="AL343" s="11"/>
      <c r="AM343" s="11"/>
      <c r="AN343" s="11">
        <v>30</v>
      </c>
      <c r="AO343" s="11"/>
      <c r="AP343" s="11">
        <v>47</v>
      </c>
      <c r="AQ343" s="11"/>
      <c r="AR343" s="11"/>
      <c r="AS343" s="11"/>
      <c r="AT343" s="11"/>
      <c r="AU343" s="20" t="str">
        <f>HYPERLINK("http://www.openstreetmap.org/?mlat=34.0022&amp;mlon=44.9413&amp;zoom=12#map=12/34.0022/44.9413","Maplink1")</f>
        <v>Maplink1</v>
      </c>
      <c r="AV343" s="20" t="str">
        <f>HYPERLINK("https://www.google.iq/maps/search/+34.0022,44.9413/@34.0022,44.9413,14z?hl=en","Maplink2")</f>
        <v>Maplink2</v>
      </c>
      <c r="AW343" s="20" t="str">
        <f>HYPERLINK("http://www.bing.com/maps/?lvl=14&amp;sty=h&amp;cp=34.0022~44.9413&amp;sp=point.34.0022_44.9413","Maplink3")</f>
        <v>Maplink3</v>
      </c>
    </row>
    <row r="344" spans="1:49" x14ac:dyDescent="0.25">
      <c r="A344" s="9">
        <v>25802</v>
      </c>
      <c r="B344" s="10" t="s">
        <v>13</v>
      </c>
      <c r="C344" s="10" t="s">
        <v>640</v>
      </c>
      <c r="D344" s="10" t="s">
        <v>665</v>
      </c>
      <c r="E344" s="10" t="s">
        <v>666</v>
      </c>
      <c r="F344" s="10">
        <v>33.981959531699999</v>
      </c>
      <c r="G344" s="10">
        <v>44.930711685399999</v>
      </c>
      <c r="H344" s="11">
        <v>20</v>
      </c>
      <c r="I344" s="11">
        <v>120</v>
      </c>
      <c r="J344" s="11"/>
      <c r="K344" s="11"/>
      <c r="L344" s="11"/>
      <c r="M344" s="11"/>
      <c r="N344" s="11"/>
      <c r="O344" s="11">
        <v>20</v>
      </c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>
        <v>20</v>
      </c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>
        <v>20</v>
      </c>
      <c r="AO344" s="11"/>
      <c r="AP344" s="11"/>
      <c r="AQ344" s="11"/>
      <c r="AR344" s="11"/>
      <c r="AS344" s="11"/>
      <c r="AT344" s="11"/>
      <c r="AU344" s="20" t="str">
        <f>HYPERLINK("http://www.openstreetmap.org/?mlat=33.982&amp;mlon=44.9307&amp;zoom=12#map=12/33.982/44.9307","Maplink1")</f>
        <v>Maplink1</v>
      </c>
      <c r="AV344" s="20" t="str">
        <f>HYPERLINK("https://www.google.iq/maps/search/+33.982,44.9307/@33.982,44.9307,14z?hl=en","Maplink2")</f>
        <v>Maplink2</v>
      </c>
      <c r="AW344" s="20" t="str">
        <f>HYPERLINK("http://www.bing.com/maps/?lvl=14&amp;sty=h&amp;cp=33.982~44.9307&amp;sp=point.33.982_44.9307","Maplink3")</f>
        <v>Maplink3</v>
      </c>
    </row>
    <row r="345" spans="1:49" x14ac:dyDescent="0.25">
      <c r="A345" s="9">
        <v>25664</v>
      </c>
      <c r="B345" s="10" t="s">
        <v>13</v>
      </c>
      <c r="C345" s="10" t="s">
        <v>640</v>
      </c>
      <c r="D345" s="10" t="s">
        <v>667</v>
      </c>
      <c r="E345" s="10" t="s">
        <v>668</v>
      </c>
      <c r="F345" s="10">
        <v>34.005588799400002</v>
      </c>
      <c r="G345" s="10">
        <v>44.879296588499997</v>
      </c>
      <c r="H345" s="11">
        <v>209</v>
      </c>
      <c r="I345" s="11">
        <v>1254</v>
      </c>
      <c r="J345" s="11"/>
      <c r="K345" s="11"/>
      <c r="L345" s="11"/>
      <c r="M345" s="11"/>
      <c r="N345" s="11"/>
      <c r="O345" s="11">
        <v>159</v>
      </c>
      <c r="P345" s="11"/>
      <c r="Q345" s="11"/>
      <c r="R345" s="11"/>
      <c r="S345" s="11"/>
      <c r="T345" s="11"/>
      <c r="U345" s="11"/>
      <c r="V345" s="11"/>
      <c r="W345" s="11"/>
      <c r="X345" s="11"/>
      <c r="Y345" s="11">
        <v>50</v>
      </c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>
        <v>209</v>
      </c>
      <c r="AL345" s="11"/>
      <c r="AM345" s="11"/>
      <c r="AN345" s="11"/>
      <c r="AO345" s="11"/>
      <c r="AP345" s="11">
        <v>209</v>
      </c>
      <c r="AQ345" s="11"/>
      <c r="AR345" s="11"/>
      <c r="AS345" s="11"/>
      <c r="AT345" s="11"/>
      <c r="AU345" s="20" t="str">
        <f>HYPERLINK("http://www.openstreetmap.org/?mlat=34.0056&amp;mlon=44.8793&amp;zoom=12#map=12/34.0056/44.8793","Maplink1")</f>
        <v>Maplink1</v>
      </c>
      <c r="AV345" s="20" t="str">
        <f>HYPERLINK("https://www.google.iq/maps/search/+34.0056,44.8793/@34.0056,44.8793,14z?hl=en","Maplink2")</f>
        <v>Maplink2</v>
      </c>
      <c r="AW345" s="20" t="str">
        <f>HYPERLINK("http://www.bing.com/maps/?lvl=14&amp;sty=h&amp;cp=34.0056~44.8793&amp;sp=point.34.0056_44.8793","Maplink3")</f>
        <v>Maplink3</v>
      </c>
    </row>
    <row r="346" spans="1:49" x14ac:dyDescent="0.25">
      <c r="A346" s="9">
        <v>31720</v>
      </c>
      <c r="B346" s="10" t="s">
        <v>13</v>
      </c>
      <c r="C346" s="10" t="s">
        <v>640</v>
      </c>
      <c r="D346" s="10" t="s">
        <v>669</v>
      </c>
      <c r="E346" s="10" t="s">
        <v>670</v>
      </c>
      <c r="F346" s="10">
        <v>33.990099999999998</v>
      </c>
      <c r="G346" s="10">
        <v>44.918599999999998</v>
      </c>
      <c r="H346" s="11">
        <v>125</v>
      </c>
      <c r="I346" s="11">
        <v>750</v>
      </c>
      <c r="J346" s="11"/>
      <c r="K346" s="11"/>
      <c r="L346" s="11"/>
      <c r="M346" s="11"/>
      <c r="N346" s="11"/>
      <c r="O346" s="11">
        <v>123</v>
      </c>
      <c r="P346" s="11"/>
      <c r="Q346" s="11"/>
      <c r="R346" s="11"/>
      <c r="S346" s="11"/>
      <c r="T346" s="11"/>
      <c r="U346" s="11"/>
      <c r="V346" s="11"/>
      <c r="W346" s="11"/>
      <c r="X346" s="11"/>
      <c r="Y346" s="11">
        <v>2</v>
      </c>
      <c r="Z346" s="11"/>
      <c r="AA346" s="11"/>
      <c r="AB346" s="11"/>
      <c r="AC346" s="11">
        <v>125</v>
      </c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>
        <v>125</v>
      </c>
      <c r="AO346" s="11"/>
      <c r="AP346" s="11"/>
      <c r="AQ346" s="11"/>
      <c r="AR346" s="11"/>
      <c r="AS346" s="11"/>
      <c r="AT346" s="11"/>
      <c r="AU346" s="20" t="str">
        <f>HYPERLINK("http://www.openstreetmap.org/?mlat=33.9901&amp;mlon=44.9186&amp;zoom=12#map=12/33.9901/44.9186","Maplink1")</f>
        <v>Maplink1</v>
      </c>
      <c r="AV346" s="20" t="str">
        <f>HYPERLINK("https://www.google.iq/maps/search/+33.9901,44.9186/@33.9901,44.9186,14z?hl=en","Maplink2")</f>
        <v>Maplink2</v>
      </c>
      <c r="AW346" s="20" t="str">
        <f>HYPERLINK("http://www.bing.com/maps/?lvl=14&amp;sty=h&amp;cp=33.9901~44.9186&amp;sp=point.33.9901_44.9186","Maplink3")</f>
        <v>Maplink3</v>
      </c>
    </row>
    <row r="347" spans="1:49" x14ac:dyDescent="0.25">
      <c r="A347" s="9">
        <v>25804</v>
      </c>
      <c r="B347" s="10" t="s">
        <v>13</v>
      </c>
      <c r="C347" s="10" t="s">
        <v>640</v>
      </c>
      <c r="D347" s="10" t="s">
        <v>671</v>
      </c>
      <c r="E347" s="10" t="s">
        <v>91</v>
      </c>
      <c r="F347" s="10">
        <v>33.989437009</v>
      </c>
      <c r="G347" s="10">
        <v>44.948567536699997</v>
      </c>
      <c r="H347" s="11">
        <v>380</v>
      </c>
      <c r="I347" s="11">
        <v>2280</v>
      </c>
      <c r="J347" s="11"/>
      <c r="K347" s="11"/>
      <c r="L347" s="11"/>
      <c r="M347" s="11"/>
      <c r="N347" s="11"/>
      <c r="O347" s="11">
        <v>380</v>
      </c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>
        <v>210</v>
      </c>
      <c r="AD347" s="11"/>
      <c r="AE347" s="11"/>
      <c r="AF347" s="11"/>
      <c r="AG347" s="11"/>
      <c r="AH347" s="11"/>
      <c r="AI347" s="11">
        <v>95</v>
      </c>
      <c r="AJ347" s="11"/>
      <c r="AK347" s="11">
        <v>75</v>
      </c>
      <c r="AL347" s="11"/>
      <c r="AM347" s="11"/>
      <c r="AN347" s="11">
        <v>380</v>
      </c>
      <c r="AO347" s="11"/>
      <c r="AP347" s="11"/>
      <c r="AQ347" s="11"/>
      <c r="AR347" s="11"/>
      <c r="AS347" s="11"/>
      <c r="AT347" s="11"/>
      <c r="AU347" s="20" t="str">
        <f>HYPERLINK("http://www.openstreetmap.org/?mlat=33.9894&amp;mlon=44.9486&amp;zoom=12#map=12/33.9894/44.9486","Maplink1")</f>
        <v>Maplink1</v>
      </c>
      <c r="AV347" s="20" t="str">
        <f>HYPERLINK("https://www.google.iq/maps/search/+33.9894,44.9486/@33.9894,44.9486,14z?hl=en","Maplink2")</f>
        <v>Maplink2</v>
      </c>
      <c r="AW347" s="20" t="str">
        <f>HYPERLINK("http://www.bing.com/maps/?lvl=14&amp;sty=h&amp;cp=33.9894~44.9486&amp;sp=point.33.9894_44.9486","Maplink3")</f>
        <v>Maplink3</v>
      </c>
    </row>
    <row r="348" spans="1:49" x14ac:dyDescent="0.25">
      <c r="A348" s="9">
        <v>11414</v>
      </c>
      <c r="B348" s="10" t="s">
        <v>13</v>
      </c>
      <c r="C348" s="10" t="s">
        <v>640</v>
      </c>
      <c r="D348" s="10" t="s">
        <v>672</v>
      </c>
      <c r="E348" s="10" t="s">
        <v>673</v>
      </c>
      <c r="F348" s="10">
        <v>34.005899999999997</v>
      </c>
      <c r="G348" s="10">
        <v>44.947699999999998</v>
      </c>
      <c r="H348" s="11">
        <v>60</v>
      </c>
      <c r="I348" s="11">
        <v>360</v>
      </c>
      <c r="J348" s="11"/>
      <c r="K348" s="11"/>
      <c r="L348" s="11"/>
      <c r="M348" s="11"/>
      <c r="N348" s="11"/>
      <c r="O348" s="11">
        <v>40</v>
      </c>
      <c r="P348" s="11"/>
      <c r="Q348" s="11"/>
      <c r="R348" s="11"/>
      <c r="S348" s="11"/>
      <c r="T348" s="11"/>
      <c r="U348" s="11"/>
      <c r="V348" s="11"/>
      <c r="W348" s="11"/>
      <c r="X348" s="11"/>
      <c r="Y348" s="11">
        <v>20</v>
      </c>
      <c r="Z348" s="11"/>
      <c r="AA348" s="11"/>
      <c r="AB348" s="11"/>
      <c r="AC348" s="11">
        <v>30</v>
      </c>
      <c r="AD348" s="11"/>
      <c r="AE348" s="11"/>
      <c r="AF348" s="11"/>
      <c r="AG348" s="11"/>
      <c r="AH348" s="11"/>
      <c r="AI348" s="11"/>
      <c r="AJ348" s="11"/>
      <c r="AK348" s="11">
        <v>30</v>
      </c>
      <c r="AL348" s="11"/>
      <c r="AM348" s="11"/>
      <c r="AN348" s="11"/>
      <c r="AO348" s="11"/>
      <c r="AP348" s="11">
        <v>60</v>
      </c>
      <c r="AQ348" s="11"/>
      <c r="AR348" s="11"/>
      <c r="AS348" s="11"/>
      <c r="AT348" s="11"/>
      <c r="AU348" s="20" t="str">
        <f>HYPERLINK("http://www.openstreetmap.org/?mlat=34.0059&amp;mlon=44.9477&amp;zoom=12#map=12/34.0059/44.9477","Maplink1")</f>
        <v>Maplink1</v>
      </c>
      <c r="AV348" s="20" t="str">
        <f>HYPERLINK("https://www.google.iq/maps/search/+34.0059,44.9477/@34.0059,44.9477,14z?hl=en","Maplink2")</f>
        <v>Maplink2</v>
      </c>
      <c r="AW348" s="20" t="str">
        <f>HYPERLINK("http://www.bing.com/maps/?lvl=14&amp;sty=h&amp;cp=34.0059~44.9477&amp;sp=point.34.0059_44.9477","Maplink3")</f>
        <v>Maplink3</v>
      </c>
    </row>
    <row r="349" spans="1:49" x14ac:dyDescent="0.25">
      <c r="A349" s="9">
        <v>25801</v>
      </c>
      <c r="B349" s="10" t="s">
        <v>13</v>
      </c>
      <c r="C349" s="10" t="s">
        <v>640</v>
      </c>
      <c r="D349" s="10" t="s">
        <v>674</v>
      </c>
      <c r="E349" s="10" t="s">
        <v>675</v>
      </c>
      <c r="F349" s="10">
        <v>33.976590000000002</v>
      </c>
      <c r="G349" s="10">
        <v>44.931890000000003</v>
      </c>
      <c r="H349" s="11">
        <v>25</v>
      </c>
      <c r="I349" s="11">
        <v>150</v>
      </c>
      <c r="J349" s="11"/>
      <c r="K349" s="11"/>
      <c r="L349" s="11"/>
      <c r="M349" s="11"/>
      <c r="N349" s="11"/>
      <c r="O349" s="11">
        <v>25</v>
      </c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>
        <v>25</v>
      </c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>
        <v>25</v>
      </c>
      <c r="AO349" s="11"/>
      <c r="AP349" s="11"/>
      <c r="AQ349" s="11"/>
      <c r="AR349" s="11"/>
      <c r="AS349" s="11"/>
      <c r="AT349" s="11"/>
      <c r="AU349" s="20" t="str">
        <f>HYPERLINK("http://www.openstreetmap.org/?mlat=33.9766&amp;mlon=44.9319&amp;zoom=12#map=12/33.9766/44.9319","Maplink1")</f>
        <v>Maplink1</v>
      </c>
      <c r="AV349" s="20" t="str">
        <f>HYPERLINK("https://www.google.iq/maps/search/+33.9766,44.9319/@33.9766,44.9319,14z?hl=en","Maplink2")</f>
        <v>Maplink2</v>
      </c>
      <c r="AW349" s="20" t="str">
        <f>HYPERLINK("http://www.bing.com/maps/?lvl=14&amp;sty=h&amp;cp=33.9766~44.9319&amp;sp=point.33.9766_44.9319","Maplink3")</f>
        <v>Maplink3</v>
      </c>
    </row>
    <row r="350" spans="1:49" x14ac:dyDescent="0.25">
      <c r="A350" s="9">
        <v>25663</v>
      </c>
      <c r="B350" s="10" t="s">
        <v>13</v>
      </c>
      <c r="C350" s="10" t="s">
        <v>640</v>
      </c>
      <c r="D350" s="10" t="s">
        <v>676</v>
      </c>
      <c r="E350" s="10" t="s">
        <v>677</v>
      </c>
      <c r="F350" s="10">
        <v>34.038020000000003</v>
      </c>
      <c r="G350" s="10">
        <v>44.984490000000001</v>
      </c>
      <c r="H350" s="11">
        <v>81</v>
      </c>
      <c r="I350" s="11">
        <v>486</v>
      </c>
      <c r="J350" s="11"/>
      <c r="K350" s="11"/>
      <c r="L350" s="11"/>
      <c r="M350" s="11"/>
      <c r="N350" s="11"/>
      <c r="O350" s="11">
        <v>80</v>
      </c>
      <c r="P350" s="11"/>
      <c r="Q350" s="11"/>
      <c r="R350" s="11">
        <v>1</v>
      </c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>
        <v>21</v>
      </c>
      <c r="AD350" s="11"/>
      <c r="AE350" s="11"/>
      <c r="AF350" s="11"/>
      <c r="AG350" s="11"/>
      <c r="AH350" s="11"/>
      <c r="AI350" s="11"/>
      <c r="AJ350" s="11"/>
      <c r="AK350" s="11">
        <v>60</v>
      </c>
      <c r="AL350" s="11"/>
      <c r="AM350" s="11"/>
      <c r="AN350" s="11"/>
      <c r="AO350" s="11"/>
      <c r="AP350" s="11">
        <v>81</v>
      </c>
      <c r="AQ350" s="11"/>
      <c r="AR350" s="11"/>
      <c r="AS350" s="11"/>
      <c r="AT350" s="11"/>
      <c r="AU350" s="20" t="str">
        <f>HYPERLINK("http://www.openstreetmap.org/?mlat=34.038&amp;mlon=44.9845&amp;zoom=12#map=12/34.038/44.9845","Maplink1")</f>
        <v>Maplink1</v>
      </c>
      <c r="AV350" s="20" t="str">
        <f>HYPERLINK("https://www.google.iq/maps/search/+34.038,44.9845/@34.038,44.9845,14z?hl=en","Maplink2")</f>
        <v>Maplink2</v>
      </c>
      <c r="AW350" s="20" t="str">
        <f>HYPERLINK("http://www.bing.com/maps/?lvl=14&amp;sty=h&amp;cp=34.038~44.9845&amp;sp=point.34.038_44.9845","Maplink3")</f>
        <v>Maplink3</v>
      </c>
    </row>
    <row r="351" spans="1:49" x14ac:dyDescent="0.25">
      <c r="A351" s="9">
        <v>11440</v>
      </c>
      <c r="B351" s="10" t="s">
        <v>13</v>
      </c>
      <c r="C351" s="10" t="s">
        <v>640</v>
      </c>
      <c r="D351" s="10" t="s">
        <v>511</v>
      </c>
      <c r="E351" s="10" t="s">
        <v>512</v>
      </c>
      <c r="F351" s="10">
        <v>34.014964209399999</v>
      </c>
      <c r="G351" s="10">
        <v>44.915148972899999</v>
      </c>
      <c r="H351" s="11">
        <v>475</v>
      </c>
      <c r="I351" s="11">
        <v>2850</v>
      </c>
      <c r="J351" s="11"/>
      <c r="K351" s="11"/>
      <c r="L351" s="11"/>
      <c r="M351" s="11"/>
      <c r="N351" s="11"/>
      <c r="O351" s="11">
        <v>468</v>
      </c>
      <c r="P351" s="11"/>
      <c r="Q351" s="11"/>
      <c r="R351" s="11"/>
      <c r="S351" s="11"/>
      <c r="T351" s="11"/>
      <c r="U351" s="11"/>
      <c r="V351" s="11"/>
      <c r="W351" s="11"/>
      <c r="X351" s="11"/>
      <c r="Y351" s="11">
        <v>7</v>
      </c>
      <c r="Z351" s="11"/>
      <c r="AA351" s="11"/>
      <c r="AB351" s="11"/>
      <c r="AC351" s="11">
        <v>96</v>
      </c>
      <c r="AD351" s="11"/>
      <c r="AE351" s="11"/>
      <c r="AF351" s="11"/>
      <c r="AG351" s="11"/>
      <c r="AH351" s="11"/>
      <c r="AI351" s="11"/>
      <c r="AJ351" s="11"/>
      <c r="AK351" s="11">
        <v>379</v>
      </c>
      <c r="AL351" s="11"/>
      <c r="AM351" s="11"/>
      <c r="AN351" s="11"/>
      <c r="AO351" s="11"/>
      <c r="AP351" s="11">
        <v>475</v>
      </c>
      <c r="AQ351" s="11"/>
      <c r="AR351" s="11"/>
      <c r="AS351" s="11"/>
      <c r="AT351" s="11"/>
      <c r="AU351" s="20" t="str">
        <f>HYPERLINK("http://www.openstreetmap.org/?mlat=34.015&amp;mlon=44.9151&amp;zoom=12#map=12/34.015/44.9151","Maplink1")</f>
        <v>Maplink1</v>
      </c>
      <c r="AV351" s="20" t="str">
        <f>HYPERLINK("https://www.google.iq/maps/search/+34.015,44.9151/@34.015,44.9151,14z?hl=en","Maplink2")</f>
        <v>Maplink2</v>
      </c>
      <c r="AW351" s="20" t="str">
        <f>HYPERLINK("http://www.bing.com/maps/?lvl=14&amp;sty=h&amp;cp=34.015~44.9151&amp;sp=point.34.015_44.9151","Maplink3")</f>
        <v>Maplink3</v>
      </c>
    </row>
    <row r="352" spans="1:49" x14ac:dyDescent="0.25">
      <c r="A352" s="9">
        <v>11307</v>
      </c>
      <c r="B352" s="10" t="s">
        <v>13</v>
      </c>
      <c r="C352" s="10" t="s">
        <v>640</v>
      </c>
      <c r="D352" s="10" t="s">
        <v>678</v>
      </c>
      <c r="E352" s="10" t="s">
        <v>679</v>
      </c>
      <c r="F352" s="10">
        <v>34.018279999999997</v>
      </c>
      <c r="G352" s="10">
        <v>44.99727</v>
      </c>
      <c r="H352" s="11">
        <v>282</v>
      </c>
      <c r="I352" s="11">
        <v>1692</v>
      </c>
      <c r="J352" s="11"/>
      <c r="K352" s="11"/>
      <c r="L352" s="11"/>
      <c r="M352" s="11"/>
      <c r="N352" s="11"/>
      <c r="O352" s="11">
        <v>276</v>
      </c>
      <c r="P352" s="11"/>
      <c r="Q352" s="11"/>
      <c r="R352" s="11">
        <v>6</v>
      </c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>
        <v>132</v>
      </c>
      <c r="AD352" s="11"/>
      <c r="AE352" s="11"/>
      <c r="AF352" s="11"/>
      <c r="AG352" s="11"/>
      <c r="AH352" s="11"/>
      <c r="AI352" s="11"/>
      <c r="AJ352" s="11"/>
      <c r="AK352" s="11">
        <v>150</v>
      </c>
      <c r="AL352" s="11"/>
      <c r="AM352" s="11"/>
      <c r="AN352" s="11"/>
      <c r="AO352" s="11"/>
      <c r="AP352" s="11">
        <v>282</v>
      </c>
      <c r="AQ352" s="11"/>
      <c r="AR352" s="11"/>
      <c r="AS352" s="11"/>
      <c r="AT352" s="11"/>
      <c r="AU352" s="20" t="str">
        <f>HYPERLINK("http://www.openstreetmap.org/?mlat=34.0183&amp;mlon=44.9973&amp;zoom=12#map=12/34.0183/44.9973","Maplink1")</f>
        <v>Maplink1</v>
      </c>
      <c r="AV352" s="20" t="str">
        <f>HYPERLINK("https://www.google.iq/maps/search/+34.0183,44.9973/@34.0183,44.9973,14z?hl=en","Maplink2")</f>
        <v>Maplink2</v>
      </c>
      <c r="AW352" s="20" t="str">
        <f>HYPERLINK("http://www.bing.com/maps/?lvl=14&amp;sty=h&amp;cp=34.0183~44.9973&amp;sp=point.34.0183_44.9973","Maplink3")</f>
        <v>Maplink3</v>
      </c>
    </row>
    <row r="353" spans="1:49" x14ac:dyDescent="0.25">
      <c r="A353" s="9">
        <v>26027</v>
      </c>
      <c r="B353" s="10" t="s">
        <v>13</v>
      </c>
      <c r="C353" s="10" t="s">
        <v>640</v>
      </c>
      <c r="D353" s="10" t="s">
        <v>680</v>
      </c>
      <c r="E353" s="10" t="s">
        <v>681</v>
      </c>
      <c r="F353" s="10">
        <v>34.035346450299997</v>
      </c>
      <c r="G353" s="10">
        <v>44.973788554199999</v>
      </c>
      <c r="H353" s="11">
        <v>60</v>
      </c>
      <c r="I353" s="11">
        <v>360</v>
      </c>
      <c r="J353" s="11"/>
      <c r="K353" s="11"/>
      <c r="L353" s="11"/>
      <c r="M353" s="11"/>
      <c r="N353" s="11"/>
      <c r="O353" s="11">
        <v>60</v>
      </c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>
        <v>38</v>
      </c>
      <c r="AD353" s="11"/>
      <c r="AE353" s="11"/>
      <c r="AF353" s="11"/>
      <c r="AG353" s="11"/>
      <c r="AH353" s="11"/>
      <c r="AI353" s="11"/>
      <c r="AJ353" s="11"/>
      <c r="AK353" s="11">
        <v>22</v>
      </c>
      <c r="AL353" s="11"/>
      <c r="AM353" s="11"/>
      <c r="AN353" s="11"/>
      <c r="AO353" s="11"/>
      <c r="AP353" s="11">
        <v>60</v>
      </c>
      <c r="AQ353" s="11"/>
      <c r="AR353" s="11"/>
      <c r="AS353" s="11"/>
      <c r="AT353" s="11"/>
      <c r="AU353" s="20" t="str">
        <f>HYPERLINK("http://www.openstreetmap.org/?mlat=34.0353&amp;mlon=44.9738&amp;zoom=12#map=12/34.0353/44.9738","Maplink1")</f>
        <v>Maplink1</v>
      </c>
      <c r="AV353" s="20" t="str">
        <f>HYPERLINK("https://www.google.iq/maps/search/+34.0353,44.9738/@34.0353,44.9738,14z?hl=en","Maplink2")</f>
        <v>Maplink2</v>
      </c>
      <c r="AW353" s="20" t="str">
        <f>HYPERLINK("http://www.bing.com/maps/?lvl=14&amp;sty=h&amp;cp=34.0353~44.9738&amp;sp=point.34.0353_44.9738","Maplink3")</f>
        <v>Maplink3</v>
      </c>
    </row>
    <row r="354" spans="1:49" x14ac:dyDescent="0.25">
      <c r="A354" s="9">
        <v>26114</v>
      </c>
      <c r="B354" s="10" t="s">
        <v>13</v>
      </c>
      <c r="C354" s="10" t="s">
        <v>640</v>
      </c>
      <c r="D354" s="10" t="s">
        <v>682</v>
      </c>
      <c r="E354" s="10" t="s">
        <v>683</v>
      </c>
      <c r="F354" s="10">
        <v>34.057670000000002</v>
      </c>
      <c r="G354" s="10">
        <v>44.98415</v>
      </c>
      <c r="H354" s="11">
        <v>151</v>
      </c>
      <c r="I354" s="11">
        <v>906</v>
      </c>
      <c r="J354" s="11"/>
      <c r="K354" s="11"/>
      <c r="L354" s="11"/>
      <c r="M354" s="11"/>
      <c r="N354" s="11"/>
      <c r="O354" s="11">
        <v>151</v>
      </c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>
        <v>151</v>
      </c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>
        <v>72</v>
      </c>
      <c r="AO354" s="11"/>
      <c r="AP354" s="11">
        <v>79</v>
      </c>
      <c r="AQ354" s="11"/>
      <c r="AR354" s="11"/>
      <c r="AS354" s="11"/>
      <c r="AT354" s="11"/>
      <c r="AU354" s="20" t="str">
        <f>HYPERLINK("http://www.openstreetmap.org/?mlat=34.0577&amp;mlon=44.9842&amp;zoom=12#map=12/34.0577/44.9842","Maplink1")</f>
        <v>Maplink1</v>
      </c>
      <c r="AV354" s="20" t="str">
        <f>HYPERLINK("https://www.google.iq/maps/search/+34.0577,44.9842/@34.0577,44.9842,14z?hl=en","Maplink2")</f>
        <v>Maplink2</v>
      </c>
      <c r="AW354" s="20" t="str">
        <f>HYPERLINK("http://www.bing.com/maps/?lvl=14&amp;sty=h&amp;cp=34.0577~44.9842&amp;sp=point.34.0577_44.9842","Maplink3")</f>
        <v>Maplink3</v>
      </c>
    </row>
    <row r="355" spans="1:49" x14ac:dyDescent="0.25">
      <c r="A355" s="9">
        <v>11312</v>
      </c>
      <c r="B355" s="10" t="s">
        <v>13</v>
      </c>
      <c r="C355" s="10" t="s">
        <v>640</v>
      </c>
      <c r="D355" s="10" t="s">
        <v>684</v>
      </c>
      <c r="E355" s="10" t="s">
        <v>685</v>
      </c>
      <c r="F355" s="10">
        <v>34.058529999999998</v>
      </c>
      <c r="G355" s="10">
        <v>44.981789999999997</v>
      </c>
      <c r="H355" s="11">
        <v>122</v>
      </c>
      <c r="I355" s="11">
        <v>732</v>
      </c>
      <c r="J355" s="11"/>
      <c r="K355" s="11"/>
      <c r="L355" s="11"/>
      <c r="M355" s="11"/>
      <c r="N355" s="11"/>
      <c r="O355" s="11">
        <v>114</v>
      </c>
      <c r="P355" s="11"/>
      <c r="Q355" s="11"/>
      <c r="R355" s="11">
        <v>8</v>
      </c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>
        <v>122</v>
      </c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>
        <v>107</v>
      </c>
      <c r="AO355" s="11"/>
      <c r="AP355" s="11">
        <v>15</v>
      </c>
      <c r="AQ355" s="11"/>
      <c r="AR355" s="11"/>
      <c r="AS355" s="11"/>
      <c r="AT355" s="11"/>
      <c r="AU355" s="20" t="str">
        <f>HYPERLINK("http://www.openstreetmap.org/?mlat=34.0585&amp;mlon=44.9818&amp;zoom=12#map=12/34.0585/44.9818","Maplink1")</f>
        <v>Maplink1</v>
      </c>
      <c r="AV355" s="20" t="str">
        <f>HYPERLINK("https://www.google.iq/maps/search/+34.0585,44.9818/@34.0585,44.9818,14z?hl=en","Maplink2")</f>
        <v>Maplink2</v>
      </c>
      <c r="AW355" s="20" t="str">
        <f>HYPERLINK("http://www.bing.com/maps/?lvl=14&amp;sty=h&amp;cp=34.0585~44.9818&amp;sp=point.34.0585_44.9818","Maplink3")</f>
        <v>Maplink3</v>
      </c>
    </row>
    <row r="356" spans="1:49" x14ac:dyDescent="0.25">
      <c r="A356" s="9">
        <v>25805</v>
      </c>
      <c r="B356" s="10" t="s">
        <v>13</v>
      </c>
      <c r="C356" s="10" t="s">
        <v>640</v>
      </c>
      <c r="D356" s="10" t="s">
        <v>686</v>
      </c>
      <c r="E356" s="10" t="s">
        <v>687</v>
      </c>
      <c r="F356" s="10">
        <v>33.984566497499998</v>
      </c>
      <c r="G356" s="10">
        <v>44.942542780099998</v>
      </c>
      <c r="H356" s="11">
        <v>160</v>
      </c>
      <c r="I356" s="11">
        <v>960</v>
      </c>
      <c r="J356" s="11"/>
      <c r="K356" s="11"/>
      <c r="L356" s="11"/>
      <c r="M356" s="11"/>
      <c r="N356" s="11"/>
      <c r="O356" s="11">
        <v>160</v>
      </c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>
        <v>160</v>
      </c>
      <c r="AL356" s="11"/>
      <c r="AM356" s="11"/>
      <c r="AN356" s="11">
        <v>160</v>
      </c>
      <c r="AO356" s="11"/>
      <c r="AP356" s="11"/>
      <c r="AQ356" s="11"/>
      <c r="AR356" s="11"/>
      <c r="AS356" s="11"/>
      <c r="AT356" s="11"/>
      <c r="AU356" s="20" t="str">
        <f>HYPERLINK("http://www.openstreetmap.org/?mlat=33.9846&amp;mlon=44.9425&amp;zoom=12#map=12/33.9846/44.9425","Maplink1")</f>
        <v>Maplink1</v>
      </c>
      <c r="AV356" s="20" t="str">
        <f>HYPERLINK("https://www.google.iq/maps/search/+33.9846,44.9425/@33.9846,44.9425,14z?hl=en","Maplink2")</f>
        <v>Maplink2</v>
      </c>
      <c r="AW356" s="20" t="str">
        <f>HYPERLINK("http://www.bing.com/maps/?lvl=14&amp;sty=h&amp;cp=33.9846~44.9425&amp;sp=point.33.9846_44.9425","Maplink3")</f>
        <v>Maplink3</v>
      </c>
    </row>
    <row r="357" spans="1:49" x14ac:dyDescent="0.25">
      <c r="A357" s="9">
        <v>25803</v>
      </c>
      <c r="B357" s="10" t="s">
        <v>13</v>
      </c>
      <c r="C357" s="10" t="s">
        <v>640</v>
      </c>
      <c r="D357" s="10" t="s">
        <v>688</v>
      </c>
      <c r="E357" s="10" t="s">
        <v>689</v>
      </c>
      <c r="F357" s="10">
        <v>33.975389999999997</v>
      </c>
      <c r="G357" s="10">
        <v>44.931190000000001</v>
      </c>
      <c r="H357" s="11">
        <v>23</v>
      </c>
      <c r="I357" s="11">
        <v>138</v>
      </c>
      <c r="J357" s="11"/>
      <c r="K357" s="11"/>
      <c r="L357" s="11"/>
      <c r="M357" s="11"/>
      <c r="N357" s="11"/>
      <c r="O357" s="11">
        <v>23</v>
      </c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>
        <v>23</v>
      </c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>
        <v>23</v>
      </c>
      <c r="AO357" s="11"/>
      <c r="AP357" s="11"/>
      <c r="AQ357" s="11"/>
      <c r="AR357" s="11"/>
      <c r="AS357" s="11"/>
      <c r="AT357" s="11"/>
      <c r="AU357" s="20" t="str">
        <f>HYPERLINK("http://www.openstreetmap.org/?mlat=33.9754&amp;mlon=44.9312&amp;zoom=12#map=12/33.9754/44.9312","Maplink1")</f>
        <v>Maplink1</v>
      </c>
      <c r="AV357" s="20" t="str">
        <f>HYPERLINK("https://www.google.iq/maps/search/+33.9754,44.9312/@33.9754,44.9312,14z?hl=en","Maplink2")</f>
        <v>Maplink2</v>
      </c>
      <c r="AW357" s="20" t="str">
        <f>HYPERLINK("http://www.bing.com/maps/?lvl=14&amp;sty=h&amp;cp=33.9754~44.9312&amp;sp=point.33.9754_44.9312","Maplink3")</f>
        <v>Maplink3</v>
      </c>
    </row>
    <row r="358" spans="1:49" x14ac:dyDescent="0.25">
      <c r="A358" s="9">
        <v>25827</v>
      </c>
      <c r="B358" s="10" t="s">
        <v>13</v>
      </c>
      <c r="C358" s="10" t="s">
        <v>640</v>
      </c>
      <c r="D358" s="10" t="s">
        <v>690</v>
      </c>
      <c r="E358" s="10" t="s">
        <v>691</v>
      </c>
      <c r="F358" s="10">
        <v>34.030375453399998</v>
      </c>
      <c r="G358" s="10">
        <v>44.944472964699997</v>
      </c>
      <c r="H358" s="11">
        <v>138</v>
      </c>
      <c r="I358" s="11">
        <v>828</v>
      </c>
      <c r="J358" s="11"/>
      <c r="K358" s="11"/>
      <c r="L358" s="11"/>
      <c r="M358" s="11"/>
      <c r="N358" s="11"/>
      <c r="O358" s="11">
        <v>138</v>
      </c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>
        <v>98</v>
      </c>
      <c r="AD358" s="11"/>
      <c r="AE358" s="11"/>
      <c r="AF358" s="11"/>
      <c r="AG358" s="11"/>
      <c r="AH358" s="11"/>
      <c r="AI358" s="11"/>
      <c r="AJ358" s="11"/>
      <c r="AK358" s="11">
        <v>40</v>
      </c>
      <c r="AL358" s="11"/>
      <c r="AM358" s="11"/>
      <c r="AN358" s="11">
        <v>138</v>
      </c>
      <c r="AO358" s="11"/>
      <c r="AP358" s="11"/>
      <c r="AQ358" s="11"/>
      <c r="AR358" s="11"/>
      <c r="AS358" s="11"/>
      <c r="AT358" s="11"/>
      <c r="AU358" s="20" t="str">
        <f>HYPERLINK("http://www.openstreetmap.org/?mlat=34.0304&amp;mlon=44.9445&amp;zoom=12#map=12/34.0304/44.9445","Maplink1")</f>
        <v>Maplink1</v>
      </c>
      <c r="AV358" s="20" t="str">
        <f>HYPERLINK("https://www.google.iq/maps/search/+34.0304,44.9445/@34.0304,44.9445,14z?hl=en","Maplink2")</f>
        <v>Maplink2</v>
      </c>
      <c r="AW358" s="20" t="str">
        <f>HYPERLINK("http://www.bing.com/maps/?lvl=14&amp;sty=h&amp;cp=34.0304~44.9445&amp;sp=point.34.0304_44.9445","Maplink3")</f>
        <v>Maplink3</v>
      </c>
    </row>
    <row r="359" spans="1:49" x14ac:dyDescent="0.25">
      <c r="A359" s="9">
        <v>25826</v>
      </c>
      <c r="B359" s="10" t="s">
        <v>13</v>
      </c>
      <c r="C359" s="10" t="s">
        <v>640</v>
      </c>
      <c r="D359" s="10" t="s">
        <v>692</v>
      </c>
      <c r="E359" s="10" t="s">
        <v>693</v>
      </c>
      <c r="F359" s="10">
        <v>33.983460000000001</v>
      </c>
      <c r="G359" s="10">
        <v>44.938420000000001</v>
      </c>
      <c r="H359" s="11">
        <v>67</v>
      </c>
      <c r="I359" s="11">
        <v>402</v>
      </c>
      <c r="J359" s="11"/>
      <c r="K359" s="11"/>
      <c r="L359" s="11"/>
      <c r="M359" s="11"/>
      <c r="N359" s="11"/>
      <c r="O359" s="11">
        <v>67</v>
      </c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>
        <v>67</v>
      </c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>
        <v>67</v>
      </c>
      <c r="AO359" s="11"/>
      <c r="AP359" s="11"/>
      <c r="AQ359" s="11"/>
      <c r="AR359" s="11"/>
      <c r="AS359" s="11"/>
      <c r="AT359" s="11"/>
      <c r="AU359" s="20" t="str">
        <f>HYPERLINK("http://www.openstreetmap.org/?mlat=33.9835&amp;mlon=44.9384&amp;zoom=12#map=12/33.9835/44.9384","Maplink1")</f>
        <v>Maplink1</v>
      </c>
      <c r="AV359" s="20" t="str">
        <f>HYPERLINK("https://www.google.iq/maps/search/+33.9835,44.9384/@33.9835,44.9384,14z?hl=en","Maplink2")</f>
        <v>Maplink2</v>
      </c>
      <c r="AW359" s="20" t="str">
        <f>HYPERLINK("http://www.bing.com/maps/?lvl=14&amp;sty=h&amp;cp=33.9835~44.9384&amp;sp=point.33.9835_44.9384","Maplink3")</f>
        <v>Maplink3</v>
      </c>
    </row>
    <row r="360" spans="1:49" x14ac:dyDescent="0.25">
      <c r="A360" s="9">
        <v>25668</v>
      </c>
      <c r="B360" s="10" t="s">
        <v>13</v>
      </c>
      <c r="C360" s="10" t="s">
        <v>640</v>
      </c>
      <c r="D360" s="10" t="s">
        <v>694</v>
      </c>
      <c r="E360" s="10" t="s">
        <v>695</v>
      </c>
      <c r="F360" s="10">
        <v>34.035789999999999</v>
      </c>
      <c r="G360" s="10">
        <v>44.984830000000002</v>
      </c>
      <c r="H360" s="11">
        <v>50</v>
      </c>
      <c r="I360" s="11">
        <v>300</v>
      </c>
      <c r="J360" s="11"/>
      <c r="K360" s="11"/>
      <c r="L360" s="11"/>
      <c r="M360" s="11"/>
      <c r="N360" s="11"/>
      <c r="O360" s="11">
        <v>44</v>
      </c>
      <c r="P360" s="11"/>
      <c r="Q360" s="11"/>
      <c r="R360" s="11">
        <v>6</v>
      </c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>
        <v>20</v>
      </c>
      <c r="AD360" s="11"/>
      <c r="AE360" s="11"/>
      <c r="AF360" s="11"/>
      <c r="AG360" s="11"/>
      <c r="AH360" s="11"/>
      <c r="AI360" s="11"/>
      <c r="AJ360" s="11"/>
      <c r="AK360" s="11">
        <v>30</v>
      </c>
      <c r="AL360" s="11"/>
      <c r="AM360" s="11"/>
      <c r="AN360" s="11"/>
      <c r="AO360" s="11"/>
      <c r="AP360" s="11">
        <v>50</v>
      </c>
      <c r="AQ360" s="11"/>
      <c r="AR360" s="11"/>
      <c r="AS360" s="11"/>
      <c r="AT360" s="11"/>
      <c r="AU360" s="20" t="str">
        <f>HYPERLINK("http://www.openstreetmap.org/?mlat=34.0358&amp;mlon=44.9848&amp;zoom=12#map=12/34.0358/44.9848","Maplink1")</f>
        <v>Maplink1</v>
      </c>
      <c r="AV360" s="20" t="str">
        <f>HYPERLINK("https://www.google.iq/maps/search/+34.0358,44.9848/@34.0358,44.9848,14z?hl=en","Maplink2")</f>
        <v>Maplink2</v>
      </c>
      <c r="AW360" s="20" t="str">
        <f>HYPERLINK("http://www.bing.com/maps/?lvl=14&amp;sty=h&amp;cp=34.0358~44.9848&amp;sp=point.34.0358_44.9848","Maplink3")</f>
        <v>Maplink3</v>
      </c>
    </row>
    <row r="361" spans="1:49" x14ac:dyDescent="0.25">
      <c r="A361" s="9">
        <v>26028</v>
      </c>
      <c r="B361" s="10" t="s">
        <v>13</v>
      </c>
      <c r="C361" s="10" t="s">
        <v>640</v>
      </c>
      <c r="D361" s="10" t="s">
        <v>696</v>
      </c>
      <c r="E361" s="10" t="s">
        <v>697</v>
      </c>
      <c r="F361" s="10">
        <v>34.030412532200003</v>
      </c>
      <c r="G361" s="10">
        <v>44.944478155100001</v>
      </c>
      <c r="H361" s="11">
        <v>123</v>
      </c>
      <c r="I361" s="11">
        <v>738</v>
      </c>
      <c r="J361" s="11"/>
      <c r="K361" s="11"/>
      <c r="L361" s="11"/>
      <c r="M361" s="11"/>
      <c r="N361" s="11"/>
      <c r="O361" s="11">
        <v>123</v>
      </c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>
        <v>20</v>
      </c>
      <c r="AD361" s="11"/>
      <c r="AE361" s="11"/>
      <c r="AF361" s="11"/>
      <c r="AG361" s="11"/>
      <c r="AH361" s="11"/>
      <c r="AI361" s="11"/>
      <c r="AJ361" s="11"/>
      <c r="AK361" s="11">
        <v>103</v>
      </c>
      <c r="AL361" s="11"/>
      <c r="AM361" s="11"/>
      <c r="AN361" s="11"/>
      <c r="AO361" s="11"/>
      <c r="AP361" s="11">
        <v>123</v>
      </c>
      <c r="AQ361" s="11"/>
      <c r="AR361" s="11"/>
      <c r="AS361" s="11"/>
      <c r="AT361" s="11"/>
      <c r="AU361" s="20" t="str">
        <f>HYPERLINK("http://www.openstreetmap.org/?mlat=34.0304&amp;mlon=44.9445&amp;zoom=12#map=12/34.0304/44.9445","Maplink1")</f>
        <v>Maplink1</v>
      </c>
      <c r="AV361" s="20" t="str">
        <f>HYPERLINK("https://www.google.iq/maps/search/+34.0304,44.9445/@34.0304,44.9445,14z?hl=en","Maplink2")</f>
        <v>Maplink2</v>
      </c>
      <c r="AW361" s="20" t="str">
        <f>HYPERLINK("http://www.bing.com/maps/?lvl=14&amp;sty=h&amp;cp=34.0304~44.9445&amp;sp=point.34.0304_44.9445","Maplink3")</f>
        <v>Maplink3</v>
      </c>
    </row>
    <row r="362" spans="1:49" x14ac:dyDescent="0.25">
      <c r="A362" s="9">
        <v>26032</v>
      </c>
      <c r="B362" s="10" t="s">
        <v>13</v>
      </c>
      <c r="C362" s="10" t="s">
        <v>640</v>
      </c>
      <c r="D362" s="10" t="s">
        <v>698</v>
      </c>
      <c r="E362" s="10" t="s">
        <v>699</v>
      </c>
      <c r="F362" s="10">
        <v>34.031029930000003</v>
      </c>
      <c r="G362" s="10">
        <v>44.94543745</v>
      </c>
      <c r="H362" s="11">
        <v>54</v>
      </c>
      <c r="I362" s="11">
        <v>324</v>
      </c>
      <c r="J362" s="11"/>
      <c r="K362" s="11"/>
      <c r="L362" s="11"/>
      <c r="M362" s="11"/>
      <c r="N362" s="11"/>
      <c r="O362" s="11">
        <v>54</v>
      </c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>
        <v>10</v>
      </c>
      <c r="AD362" s="11"/>
      <c r="AE362" s="11"/>
      <c r="AF362" s="11"/>
      <c r="AG362" s="11"/>
      <c r="AH362" s="11"/>
      <c r="AI362" s="11"/>
      <c r="AJ362" s="11"/>
      <c r="AK362" s="11">
        <v>44</v>
      </c>
      <c r="AL362" s="11"/>
      <c r="AM362" s="11"/>
      <c r="AN362" s="11"/>
      <c r="AO362" s="11"/>
      <c r="AP362" s="11">
        <v>54</v>
      </c>
      <c r="AQ362" s="11"/>
      <c r="AR362" s="11"/>
      <c r="AS362" s="11"/>
      <c r="AT362" s="11"/>
      <c r="AU362" s="20" t="str">
        <f>HYPERLINK("http://www.openstreetmap.org/?mlat=34.031&amp;mlon=44.9454&amp;zoom=12#map=12/34.031/44.9454","Maplink1")</f>
        <v>Maplink1</v>
      </c>
      <c r="AV362" s="20" t="str">
        <f>HYPERLINK("https://www.google.iq/maps/search/+34.031,44.9454/@34.031,44.9454,14z?hl=en","Maplink2")</f>
        <v>Maplink2</v>
      </c>
      <c r="AW362" s="20" t="str">
        <f>HYPERLINK("http://www.bing.com/maps/?lvl=14&amp;sty=h&amp;cp=34.031~44.9454&amp;sp=point.34.031_44.9454","Maplink3")</f>
        <v>Maplink3</v>
      </c>
    </row>
    <row r="363" spans="1:49" x14ac:dyDescent="0.25">
      <c r="A363" s="9">
        <v>11355</v>
      </c>
      <c r="B363" s="10" t="s">
        <v>13</v>
      </c>
      <c r="C363" s="10" t="s">
        <v>640</v>
      </c>
      <c r="D363" s="10" t="s">
        <v>700</v>
      </c>
      <c r="E363" s="10" t="s">
        <v>701</v>
      </c>
      <c r="F363" s="10">
        <v>34.031413117699998</v>
      </c>
      <c r="G363" s="10">
        <v>44.946332595900003</v>
      </c>
      <c r="H363" s="11">
        <v>312</v>
      </c>
      <c r="I363" s="11">
        <v>1872</v>
      </c>
      <c r="J363" s="11"/>
      <c r="K363" s="11"/>
      <c r="L363" s="11"/>
      <c r="M363" s="11"/>
      <c r="N363" s="11"/>
      <c r="O363" s="11">
        <v>307</v>
      </c>
      <c r="P363" s="11"/>
      <c r="Q363" s="11"/>
      <c r="R363" s="11">
        <v>5</v>
      </c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>
        <v>161</v>
      </c>
      <c r="AD363" s="11"/>
      <c r="AE363" s="11"/>
      <c r="AF363" s="11"/>
      <c r="AG363" s="11"/>
      <c r="AH363" s="11"/>
      <c r="AI363" s="11"/>
      <c r="AJ363" s="11"/>
      <c r="AK363" s="11">
        <v>151</v>
      </c>
      <c r="AL363" s="11"/>
      <c r="AM363" s="11"/>
      <c r="AN363" s="11"/>
      <c r="AO363" s="11"/>
      <c r="AP363" s="11">
        <v>312</v>
      </c>
      <c r="AQ363" s="11"/>
      <c r="AR363" s="11"/>
      <c r="AS363" s="11"/>
      <c r="AT363" s="11"/>
      <c r="AU363" s="20" t="str">
        <f>HYPERLINK("http://www.openstreetmap.org/?mlat=34.0314&amp;mlon=44.9463&amp;zoom=12#map=12/34.0314/44.9463","Maplink1")</f>
        <v>Maplink1</v>
      </c>
      <c r="AV363" s="20" t="str">
        <f>HYPERLINK("https://www.google.iq/maps/search/+34.0314,44.9463/@34.0314,44.9463,14z?hl=en","Maplink2")</f>
        <v>Maplink2</v>
      </c>
      <c r="AW363" s="20" t="str">
        <f>HYPERLINK("http://www.bing.com/maps/?lvl=14&amp;sty=h&amp;cp=34.0314~44.9463&amp;sp=point.34.0314_44.9463","Maplink3")</f>
        <v>Maplink3</v>
      </c>
    </row>
    <row r="364" spans="1:49" x14ac:dyDescent="0.25">
      <c r="A364" s="9">
        <v>29660</v>
      </c>
      <c r="B364" s="10" t="s">
        <v>13</v>
      </c>
      <c r="C364" s="10" t="s">
        <v>640</v>
      </c>
      <c r="D364" s="10" t="s">
        <v>702</v>
      </c>
      <c r="E364" s="10" t="s">
        <v>703</v>
      </c>
      <c r="F364" s="10">
        <v>34.031138911500001</v>
      </c>
      <c r="G364" s="10">
        <v>44.946053640000002</v>
      </c>
      <c r="H364" s="11">
        <v>64</v>
      </c>
      <c r="I364" s="11">
        <v>384</v>
      </c>
      <c r="J364" s="11"/>
      <c r="K364" s="11"/>
      <c r="L364" s="11"/>
      <c r="M364" s="11"/>
      <c r="N364" s="11"/>
      <c r="O364" s="11">
        <v>54</v>
      </c>
      <c r="P364" s="11"/>
      <c r="Q364" s="11"/>
      <c r="R364" s="11">
        <v>10</v>
      </c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>
        <v>64</v>
      </c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>
        <v>35</v>
      </c>
      <c r="AO364" s="11"/>
      <c r="AP364" s="11">
        <v>29</v>
      </c>
      <c r="AQ364" s="11"/>
      <c r="AR364" s="11"/>
      <c r="AS364" s="11"/>
      <c r="AT364" s="11"/>
      <c r="AU364" s="20" t="str">
        <f>HYPERLINK("http://www.openstreetmap.org/?mlat=34.0311&amp;mlon=44.9461&amp;zoom=12#map=12/34.0311/44.9461","Maplink1")</f>
        <v>Maplink1</v>
      </c>
      <c r="AV364" s="20" t="str">
        <f>HYPERLINK("https://www.google.iq/maps/search/+34.0311,44.9461/@34.0311,44.9461,14z?hl=en","Maplink2")</f>
        <v>Maplink2</v>
      </c>
      <c r="AW364" s="20" t="str">
        <f>HYPERLINK("http://www.bing.com/maps/?lvl=14&amp;sty=h&amp;cp=34.0311~44.9461&amp;sp=point.34.0311_44.9461","Maplink3")</f>
        <v>Maplink3</v>
      </c>
    </row>
    <row r="365" spans="1:49" x14ac:dyDescent="0.25">
      <c r="A365" s="9">
        <v>11187</v>
      </c>
      <c r="B365" s="10" t="s">
        <v>13</v>
      </c>
      <c r="C365" s="10" t="s">
        <v>640</v>
      </c>
      <c r="D365" s="10" t="s">
        <v>704</v>
      </c>
      <c r="E365" s="10" t="s">
        <v>705</v>
      </c>
      <c r="F365" s="10">
        <v>33.989339999999999</v>
      </c>
      <c r="G365" s="10">
        <v>44.974589999999999</v>
      </c>
      <c r="H365" s="11">
        <v>31</v>
      </c>
      <c r="I365" s="11">
        <v>186</v>
      </c>
      <c r="J365" s="11"/>
      <c r="K365" s="11"/>
      <c r="L365" s="11"/>
      <c r="M365" s="11"/>
      <c r="N365" s="11"/>
      <c r="O365" s="11">
        <v>31</v>
      </c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>
        <v>31</v>
      </c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>
        <v>31</v>
      </c>
      <c r="AO365" s="11"/>
      <c r="AP365" s="11"/>
      <c r="AQ365" s="11"/>
      <c r="AR365" s="11"/>
      <c r="AS365" s="11"/>
      <c r="AT365" s="11"/>
      <c r="AU365" s="20" t="str">
        <f>HYPERLINK("http://www.openstreetmap.org/?mlat=33.9893&amp;mlon=44.9746&amp;zoom=12#map=12/33.9893/44.9746","Maplink1")</f>
        <v>Maplink1</v>
      </c>
      <c r="AV365" s="20" t="str">
        <f>HYPERLINK("https://www.google.iq/maps/search/+33.9893,44.9746/@33.9893,44.9746,14z?hl=en","Maplink2")</f>
        <v>Maplink2</v>
      </c>
      <c r="AW365" s="20" t="str">
        <f>HYPERLINK("http://www.bing.com/maps/?lvl=14&amp;sty=h&amp;cp=33.9893~44.9746&amp;sp=point.33.9893_44.9746","Maplink3")</f>
        <v>Maplink3</v>
      </c>
    </row>
    <row r="366" spans="1:49" x14ac:dyDescent="0.25">
      <c r="A366" s="9">
        <v>11179</v>
      </c>
      <c r="B366" s="10" t="s">
        <v>13</v>
      </c>
      <c r="C366" s="10" t="s">
        <v>640</v>
      </c>
      <c r="D366" s="10" t="s">
        <v>706</v>
      </c>
      <c r="E366" s="10" t="s">
        <v>707</v>
      </c>
      <c r="F366" s="10">
        <v>33.98338365</v>
      </c>
      <c r="G366" s="10">
        <v>44.934642420000003</v>
      </c>
      <c r="H366" s="11">
        <v>329</v>
      </c>
      <c r="I366" s="11">
        <v>1974</v>
      </c>
      <c r="J366" s="11"/>
      <c r="K366" s="11"/>
      <c r="L366" s="11"/>
      <c r="M366" s="11"/>
      <c r="N366" s="11"/>
      <c r="O366" s="11">
        <v>329</v>
      </c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>
        <v>329</v>
      </c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>
        <v>329</v>
      </c>
      <c r="AO366" s="11"/>
      <c r="AP366" s="11"/>
      <c r="AQ366" s="11"/>
      <c r="AR366" s="11"/>
      <c r="AS366" s="11"/>
      <c r="AT366" s="11"/>
      <c r="AU366" s="20" t="str">
        <f>HYPERLINK("http://www.openstreetmap.org/?mlat=33.9834&amp;mlon=44.9346&amp;zoom=12#map=12/33.9834/44.9346","Maplink1")</f>
        <v>Maplink1</v>
      </c>
      <c r="AV366" s="20" t="str">
        <f>HYPERLINK("https://www.google.iq/maps/search/+33.9834,44.9346/@33.9834,44.9346,14z?hl=en","Maplink2")</f>
        <v>Maplink2</v>
      </c>
      <c r="AW366" s="20" t="str">
        <f>HYPERLINK("http://www.bing.com/maps/?lvl=14&amp;sty=h&amp;cp=33.9834~44.9346&amp;sp=point.33.9834_44.9346","Maplink3")</f>
        <v>Maplink3</v>
      </c>
    </row>
    <row r="367" spans="1:49" x14ac:dyDescent="0.25">
      <c r="A367" s="9">
        <v>25674</v>
      </c>
      <c r="B367" s="10" t="s">
        <v>13</v>
      </c>
      <c r="C367" s="10" t="s">
        <v>640</v>
      </c>
      <c r="D367" s="10" t="s">
        <v>708</v>
      </c>
      <c r="E367" s="10" t="s">
        <v>709</v>
      </c>
      <c r="F367" s="10">
        <v>34.002143970699997</v>
      </c>
      <c r="G367" s="10">
        <v>44.877961370999998</v>
      </c>
      <c r="H367" s="11">
        <v>26</v>
      </c>
      <c r="I367" s="11">
        <v>156</v>
      </c>
      <c r="J367" s="11"/>
      <c r="K367" s="11"/>
      <c r="L367" s="11"/>
      <c r="M367" s="11"/>
      <c r="N367" s="11"/>
      <c r="O367" s="11">
        <v>16</v>
      </c>
      <c r="P367" s="11"/>
      <c r="Q367" s="11"/>
      <c r="R367" s="11"/>
      <c r="S367" s="11"/>
      <c r="T367" s="11"/>
      <c r="U367" s="11"/>
      <c r="V367" s="11"/>
      <c r="W367" s="11"/>
      <c r="X367" s="11"/>
      <c r="Y367" s="11">
        <v>10</v>
      </c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>
        <v>26</v>
      </c>
      <c r="AL367" s="11"/>
      <c r="AM367" s="11"/>
      <c r="AN367" s="11"/>
      <c r="AO367" s="11"/>
      <c r="AP367" s="11">
        <v>26</v>
      </c>
      <c r="AQ367" s="11"/>
      <c r="AR367" s="11"/>
      <c r="AS367" s="11"/>
      <c r="AT367" s="11"/>
      <c r="AU367" s="20" t="str">
        <f>HYPERLINK("http://www.openstreetmap.org/?mlat=34.0021&amp;mlon=44.878&amp;zoom=12#map=12/34.0021/44.878","Maplink1")</f>
        <v>Maplink1</v>
      </c>
      <c r="AV367" s="20" t="str">
        <f>HYPERLINK("https://www.google.iq/maps/search/+34.0021,44.878/@34.0021,44.878,14z?hl=en","Maplink2")</f>
        <v>Maplink2</v>
      </c>
      <c r="AW367" s="20" t="str">
        <f>HYPERLINK("http://www.bing.com/maps/?lvl=14&amp;sty=h&amp;cp=34.0021~44.878&amp;sp=point.34.0021_44.878","Maplink3")</f>
        <v>Maplink3</v>
      </c>
    </row>
    <row r="368" spans="1:49" x14ac:dyDescent="0.25">
      <c r="A368" s="9">
        <v>25675</v>
      </c>
      <c r="B368" s="10" t="s">
        <v>13</v>
      </c>
      <c r="C368" s="10" t="s">
        <v>640</v>
      </c>
      <c r="D368" s="10" t="s">
        <v>710</v>
      </c>
      <c r="E368" s="10" t="s">
        <v>711</v>
      </c>
      <c r="F368" s="10">
        <v>34.011246087499998</v>
      </c>
      <c r="G368" s="10">
        <v>44.9009762986</v>
      </c>
      <c r="H368" s="11">
        <v>205</v>
      </c>
      <c r="I368" s="11">
        <v>1230</v>
      </c>
      <c r="J368" s="11"/>
      <c r="K368" s="11"/>
      <c r="L368" s="11"/>
      <c r="M368" s="11"/>
      <c r="N368" s="11"/>
      <c r="O368" s="11">
        <v>170</v>
      </c>
      <c r="P368" s="11"/>
      <c r="Q368" s="11"/>
      <c r="R368" s="11"/>
      <c r="S368" s="11"/>
      <c r="T368" s="11"/>
      <c r="U368" s="11"/>
      <c r="V368" s="11"/>
      <c r="W368" s="11"/>
      <c r="X368" s="11"/>
      <c r="Y368" s="11">
        <v>35</v>
      </c>
      <c r="Z368" s="11"/>
      <c r="AA368" s="11"/>
      <c r="AB368" s="11"/>
      <c r="AC368" s="11">
        <v>102</v>
      </c>
      <c r="AD368" s="11"/>
      <c r="AE368" s="11"/>
      <c r="AF368" s="11"/>
      <c r="AG368" s="11"/>
      <c r="AH368" s="11"/>
      <c r="AI368" s="11"/>
      <c r="AJ368" s="11"/>
      <c r="AK368" s="11">
        <v>103</v>
      </c>
      <c r="AL368" s="11"/>
      <c r="AM368" s="11"/>
      <c r="AN368" s="11"/>
      <c r="AO368" s="11"/>
      <c r="AP368" s="11">
        <v>205</v>
      </c>
      <c r="AQ368" s="11"/>
      <c r="AR368" s="11"/>
      <c r="AS368" s="11"/>
      <c r="AT368" s="11"/>
      <c r="AU368" s="20" t="str">
        <f>HYPERLINK("http://www.openstreetmap.org/?mlat=34.0112&amp;mlon=44.901&amp;zoom=12#map=12/34.0112/44.901","Maplink1")</f>
        <v>Maplink1</v>
      </c>
      <c r="AV368" s="20" t="str">
        <f>HYPERLINK("https://www.google.iq/maps/search/+34.0112,44.901/@34.0112,44.901,14z?hl=en","Maplink2")</f>
        <v>Maplink2</v>
      </c>
      <c r="AW368" s="20" t="str">
        <f>HYPERLINK("http://www.bing.com/maps/?lvl=14&amp;sty=h&amp;cp=34.0112~44.901&amp;sp=point.34.0112_44.901","Maplink3")</f>
        <v>Maplink3</v>
      </c>
    </row>
    <row r="369" spans="1:49" x14ac:dyDescent="0.25">
      <c r="A369" s="9">
        <v>26026</v>
      </c>
      <c r="B369" s="10" t="s">
        <v>13</v>
      </c>
      <c r="C369" s="10" t="s">
        <v>640</v>
      </c>
      <c r="D369" s="10" t="s">
        <v>712</v>
      </c>
      <c r="E369" s="10" t="s">
        <v>713</v>
      </c>
      <c r="F369" s="10">
        <v>34.026456042100001</v>
      </c>
      <c r="G369" s="10">
        <v>44.925579679800002</v>
      </c>
      <c r="H369" s="11">
        <v>203</v>
      </c>
      <c r="I369" s="11">
        <v>1218</v>
      </c>
      <c r="J369" s="11"/>
      <c r="K369" s="11"/>
      <c r="L369" s="11"/>
      <c r="M369" s="11"/>
      <c r="N369" s="11"/>
      <c r="O369" s="11">
        <v>200</v>
      </c>
      <c r="P369" s="11"/>
      <c r="Q369" s="11"/>
      <c r="R369" s="11"/>
      <c r="S369" s="11"/>
      <c r="T369" s="11"/>
      <c r="U369" s="11"/>
      <c r="V369" s="11"/>
      <c r="W369" s="11"/>
      <c r="X369" s="11"/>
      <c r="Y369" s="11">
        <v>3</v>
      </c>
      <c r="Z369" s="11"/>
      <c r="AA369" s="11"/>
      <c r="AB369" s="11"/>
      <c r="AC369" s="11">
        <v>70</v>
      </c>
      <c r="AD369" s="11"/>
      <c r="AE369" s="11"/>
      <c r="AF369" s="11"/>
      <c r="AG369" s="11"/>
      <c r="AH369" s="11"/>
      <c r="AI369" s="11"/>
      <c r="AJ369" s="11"/>
      <c r="AK369" s="11">
        <v>133</v>
      </c>
      <c r="AL369" s="11"/>
      <c r="AM369" s="11"/>
      <c r="AN369" s="11"/>
      <c r="AO369" s="11"/>
      <c r="AP369" s="11">
        <v>203</v>
      </c>
      <c r="AQ369" s="11"/>
      <c r="AR369" s="11"/>
      <c r="AS369" s="11"/>
      <c r="AT369" s="11"/>
      <c r="AU369" s="20" t="str">
        <f>HYPERLINK("http://www.openstreetmap.org/?mlat=34.0265&amp;mlon=44.9256&amp;zoom=12#map=12/34.0265/44.9256","Maplink1")</f>
        <v>Maplink1</v>
      </c>
      <c r="AV369" s="20" t="str">
        <f>HYPERLINK("https://www.google.iq/maps/search/+34.0265,44.9256/@34.0265,44.9256,14z?hl=en","Maplink2")</f>
        <v>Maplink2</v>
      </c>
      <c r="AW369" s="20" t="str">
        <f>HYPERLINK("http://www.bing.com/maps/?lvl=14&amp;sty=h&amp;cp=34.0265~44.9256&amp;sp=point.34.0265_44.9256","Maplink3")</f>
        <v>Maplink3</v>
      </c>
    </row>
    <row r="370" spans="1:49" x14ac:dyDescent="0.25">
      <c r="A370" s="9">
        <v>11357</v>
      </c>
      <c r="B370" s="10" t="s">
        <v>13</v>
      </c>
      <c r="C370" s="10" t="s">
        <v>640</v>
      </c>
      <c r="D370" s="10" t="s">
        <v>714</v>
      </c>
      <c r="E370" s="10" t="s">
        <v>715</v>
      </c>
      <c r="F370" s="10">
        <v>34.011400000000002</v>
      </c>
      <c r="G370" s="10">
        <v>44.959499999999998</v>
      </c>
      <c r="H370" s="11">
        <v>81</v>
      </c>
      <c r="I370" s="11">
        <v>486</v>
      </c>
      <c r="J370" s="11"/>
      <c r="K370" s="11"/>
      <c r="L370" s="11"/>
      <c r="M370" s="11"/>
      <c r="N370" s="11"/>
      <c r="O370" s="11">
        <v>81</v>
      </c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>
        <v>81</v>
      </c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>
        <v>81</v>
      </c>
      <c r="AO370" s="11"/>
      <c r="AP370" s="11"/>
      <c r="AQ370" s="11"/>
      <c r="AR370" s="11"/>
      <c r="AS370" s="11"/>
      <c r="AT370" s="11"/>
      <c r="AU370" s="20" t="str">
        <f>HYPERLINK("http://www.openstreetmap.org/?mlat=34.0114&amp;mlon=44.9595&amp;zoom=12#map=12/34.0114/44.9595","Maplink1")</f>
        <v>Maplink1</v>
      </c>
      <c r="AV370" s="20" t="str">
        <f>HYPERLINK("https://www.google.iq/maps/search/+34.0114,44.9595/@34.0114,44.9595,14z?hl=en","Maplink2")</f>
        <v>Maplink2</v>
      </c>
      <c r="AW370" s="20" t="str">
        <f>HYPERLINK("http://www.bing.com/maps/?lvl=14&amp;sty=h&amp;cp=34.0114~44.9595&amp;sp=point.34.0114_44.9595","Maplink3")</f>
        <v>Maplink3</v>
      </c>
    </row>
    <row r="371" spans="1:49" x14ac:dyDescent="0.25">
      <c r="A371" s="9">
        <v>11327</v>
      </c>
      <c r="B371" s="10" t="s">
        <v>13</v>
      </c>
      <c r="C371" s="10" t="s">
        <v>640</v>
      </c>
      <c r="D371" s="10" t="s">
        <v>716</v>
      </c>
      <c r="E371" s="10" t="s">
        <v>717</v>
      </c>
      <c r="F371" s="10">
        <v>34.040167417699998</v>
      </c>
      <c r="G371" s="10">
        <v>44.9880740288</v>
      </c>
      <c r="H371" s="11">
        <v>223</v>
      </c>
      <c r="I371" s="11">
        <v>1338</v>
      </c>
      <c r="J371" s="11"/>
      <c r="K371" s="11"/>
      <c r="L371" s="11"/>
      <c r="M371" s="11"/>
      <c r="N371" s="11"/>
      <c r="O371" s="11">
        <v>128</v>
      </c>
      <c r="P371" s="11"/>
      <c r="Q371" s="11"/>
      <c r="R371" s="11">
        <v>5</v>
      </c>
      <c r="S371" s="11"/>
      <c r="T371" s="11"/>
      <c r="U371" s="11"/>
      <c r="V371" s="11"/>
      <c r="W371" s="11"/>
      <c r="X371" s="11"/>
      <c r="Y371" s="11">
        <v>90</v>
      </c>
      <c r="Z371" s="11"/>
      <c r="AA371" s="11"/>
      <c r="AB371" s="11"/>
      <c r="AC371" s="11">
        <v>95</v>
      </c>
      <c r="AD371" s="11"/>
      <c r="AE371" s="11"/>
      <c r="AF371" s="11"/>
      <c r="AG371" s="11"/>
      <c r="AH371" s="11"/>
      <c r="AI371" s="11"/>
      <c r="AJ371" s="11"/>
      <c r="AK371" s="11">
        <v>128</v>
      </c>
      <c r="AL371" s="11"/>
      <c r="AM371" s="11"/>
      <c r="AN371" s="11"/>
      <c r="AO371" s="11"/>
      <c r="AP371" s="11">
        <v>223</v>
      </c>
      <c r="AQ371" s="11"/>
      <c r="AR371" s="11"/>
      <c r="AS371" s="11"/>
      <c r="AT371" s="11"/>
      <c r="AU371" s="20" t="str">
        <f>HYPERLINK("http://www.openstreetmap.org/?mlat=34.0402&amp;mlon=44.9881&amp;zoom=12#map=12/34.0402/44.9881","Maplink1")</f>
        <v>Maplink1</v>
      </c>
      <c r="AV371" s="20" t="str">
        <f>HYPERLINK("https://www.google.iq/maps/search/+34.0402,44.9881/@34.0402,44.9881,14z?hl=en","Maplink2")</f>
        <v>Maplink2</v>
      </c>
      <c r="AW371" s="20" t="str">
        <f>HYPERLINK("http://www.bing.com/maps/?lvl=14&amp;sty=h&amp;cp=34.0402~44.9881&amp;sp=point.34.0402_44.9881","Maplink3")</f>
        <v>Maplink3</v>
      </c>
    </row>
    <row r="372" spans="1:49" x14ac:dyDescent="0.25">
      <c r="A372" s="9">
        <v>25982</v>
      </c>
      <c r="B372" s="10" t="s">
        <v>13</v>
      </c>
      <c r="C372" s="10" t="s">
        <v>640</v>
      </c>
      <c r="D372" s="10" t="s">
        <v>718</v>
      </c>
      <c r="E372" s="10" t="s">
        <v>719</v>
      </c>
      <c r="F372" s="10">
        <v>34.054803364400001</v>
      </c>
      <c r="G372" s="10">
        <v>44.944637857899998</v>
      </c>
      <c r="H372" s="11">
        <v>248</v>
      </c>
      <c r="I372" s="11">
        <v>1488</v>
      </c>
      <c r="J372" s="11"/>
      <c r="K372" s="11"/>
      <c r="L372" s="11"/>
      <c r="M372" s="11"/>
      <c r="N372" s="11"/>
      <c r="O372" s="11">
        <v>206</v>
      </c>
      <c r="P372" s="11"/>
      <c r="Q372" s="11"/>
      <c r="R372" s="11">
        <v>35</v>
      </c>
      <c r="S372" s="11"/>
      <c r="T372" s="11"/>
      <c r="U372" s="11"/>
      <c r="V372" s="11"/>
      <c r="W372" s="11"/>
      <c r="X372" s="11"/>
      <c r="Y372" s="11">
        <v>7</v>
      </c>
      <c r="Z372" s="11"/>
      <c r="AA372" s="11"/>
      <c r="AB372" s="11"/>
      <c r="AC372" s="11">
        <v>197</v>
      </c>
      <c r="AD372" s="11"/>
      <c r="AE372" s="11"/>
      <c r="AF372" s="11"/>
      <c r="AG372" s="11"/>
      <c r="AH372" s="11"/>
      <c r="AI372" s="11"/>
      <c r="AJ372" s="11"/>
      <c r="AK372" s="11">
        <v>51</v>
      </c>
      <c r="AL372" s="11"/>
      <c r="AM372" s="11"/>
      <c r="AN372" s="11"/>
      <c r="AO372" s="11"/>
      <c r="AP372" s="11">
        <v>248</v>
      </c>
      <c r="AQ372" s="11"/>
      <c r="AR372" s="11"/>
      <c r="AS372" s="11"/>
      <c r="AT372" s="11"/>
      <c r="AU372" s="20" t="str">
        <f>HYPERLINK("http://www.openstreetmap.org/?mlat=34.0548&amp;mlon=44.9446&amp;zoom=12#map=12/34.0548/44.9446","Maplink1")</f>
        <v>Maplink1</v>
      </c>
      <c r="AV372" s="20" t="str">
        <f>HYPERLINK("https://www.google.iq/maps/search/+34.0548,44.9446/@34.0548,44.9446,14z?hl=en","Maplink2")</f>
        <v>Maplink2</v>
      </c>
      <c r="AW372" s="20" t="str">
        <f>HYPERLINK("http://www.bing.com/maps/?lvl=14&amp;sty=h&amp;cp=34.0548~44.9446&amp;sp=point.34.0548_44.9446","Maplink3")</f>
        <v>Maplink3</v>
      </c>
    </row>
    <row r="373" spans="1:49" x14ac:dyDescent="0.25">
      <c r="A373" s="9">
        <v>26073</v>
      </c>
      <c r="B373" s="10" t="s">
        <v>13</v>
      </c>
      <c r="C373" s="10" t="s">
        <v>640</v>
      </c>
      <c r="D373" s="10" t="s">
        <v>720</v>
      </c>
      <c r="E373" s="10" t="s">
        <v>721</v>
      </c>
      <c r="F373" s="10">
        <v>33.999200000000002</v>
      </c>
      <c r="G373" s="10">
        <v>44.881459999999997</v>
      </c>
      <c r="H373" s="11">
        <v>25</v>
      </c>
      <c r="I373" s="11">
        <v>150</v>
      </c>
      <c r="J373" s="11"/>
      <c r="K373" s="11"/>
      <c r="L373" s="11"/>
      <c r="M373" s="11"/>
      <c r="N373" s="11"/>
      <c r="O373" s="11">
        <v>25</v>
      </c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>
        <v>25</v>
      </c>
      <c r="AL373" s="11"/>
      <c r="AM373" s="11"/>
      <c r="AN373" s="11"/>
      <c r="AO373" s="11"/>
      <c r="AP373" s="11">
        <v>25</v>
      </c>
      <c r="AQ373" s="11"/>
      <c r="AR373" s="11"/>
      <c r="AS373" s="11"/>
      <c r="AT373" s="11"/>
      <c r="AU373" s="20" t="str">
        <f>HYPERLINK("http://www.openstreetmap.org/?mlat=33.9992&amp;mlon=44.8815&amp;zoom=12#map=12/33.9992/44.8815","Maplink1")</f>
        <v>Maplink1</v>
      </c>
      <c r="AV373" s="20" t="str">
        <f>HYPERLINK("https://www.google.iq/maps/search/+33.9992,44.8815/@33.9992,44.8815,14z?hl=en","Maplink2")</f>
        <v>Maplink2</v>
      </c>
      <c r="AW373" s="20" t="str">
        <f>HYPERLINK("http://www.bing.com/maps/?lvl=14&amp;sty=h&amp;cp=33.9992~44.8815&amp;sp=point.33.9992_44.8815","Maplink3")</f>
        <v>Maplink3</v>
      </c>
    </row>
    <row r="374" spans="1:49" x14ac:dyDescent="0.25">
      <c r="A374" s="9">
        <v>21308</v>
      </c>
      <c r="B374" s="10" t="s">
        <v>13</v>
      </c>
      <c r="C374" s="10" t="s">
        <v>640</v>
      </c>
      <c r="D374" s="10" t="s">
        <v>722</v>
      </c>
      <c r="E374" s="10" t="s">
        <v>723</v>
      </c>
      <c r="F374" s="10">
        <v>33.990359640500003</v>
      </c>
      <c r="G374" s="10">
        <v>44.947947272100002</v>
      </c>
      <c r="H374" s="11">
        <v>24</v>
      </c>
      <c r="I374" s="11">
        <v>144</v>
      </c>
      <c r="J374" s="11"/>
      <c r="K374" s="11"/>
      <c r="L374" s="11"/>
      <c r="M374" s="11"/>
      <c r="N374" s="11"/>
      <c r="O374" s="11">
        <v>24</v>
      </c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>
        <v>24</v>
      </c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>
        <v>24</v>
      </c>
      <c r="AO374" s="11"/>
      <c r="AP374" s="11"/>
      <c r="AQ374" s="11"/>
      <c r="AR374" s="11"/>
      <c r="AS374" s="11"/>
      <c r="AT374" s="11"/>
      <c r="AU374" s="20" t="str">
        <f>HYPERLINK("http://www.openstreetmap.org/?mlat=33.9904&amp;mlon=44.9479&amp;zoom=12#map=12/33.9904/44.9479","Maplink1")</f>
        <v>Maplink1</v>
      </c>
      <c r="AV374" s="20" t="str">
        <f>HYPERLINK("https://www.google.iq/maps/search/+33.9904,44.9479/@33.9904,44.9479,14z?hl=en","Maplink2")</f>
        <v>Maplink2</v>
      </c>
      <c r="AW374" s="20" t="str">
        <f>HYPERLINK("http://www.bing.com/maps/?lvl=14&amp;sty=h&amp;cp=33.9904~44.9479&amp;sp=point.33.9904_44.9479","Maplink3")</f>
        <v>Maplink3</v>
      </c>
    </row>
    <row r="375" spans="1:49" x14ac:dyDescent="0.25">
      <c r="A375" s="9">
        <v>25685</v>
      </c>
      <c r="B375" s="10" t="s">
        <v>13</v>
      </c>
      <c r="C375" s="10" t="s">
        <v>640</v>
      </c>
      <c r="D375" s="10" t="s">
        <v>724</v>
      </c>
      <c r="E375" s="10" t="s">
        <v>725</v>
      </c>
      <c r="F375" s="10">
        <v>33.998164351600003</v>
      </c>
      <c r="G375" s="10">
        <v>44.975042932400001</v>
      </c>
      <c r="H375" s="11">
        <v>177</v>
      </c>
      <c r="I375" s="11">
        <v>1062</v>
      </c>
      <c r="J375" s="11"/>
      <c r="K375" s="11"/>
      <c r="L375" s="11"/>
      <c r="M375" s="11"/>
      <c r="N375" s="11"/>
      <c r="O375" s="11">
        <v>177</v>
      </c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>
        <v>107</v>
      </c>
      <c r="AD375" s="11"/>
      <c r="AE375" s="11"/>
      <c r="AF375" s="11"/>
      <c r="AG375" s="11"/>
      <c r="AH375" s="11"/>
      <c r="AI375" s="11"/>
      <c r="AJ375" s="11"/>
      <c r="AK375" s="11">
        <v>70</v>
      </c>
      <c r="AL375" s="11"/>
      <c r="AM375" s="11"/>
      <c r="AN375" s="11"/>
      <c r="AO375" s="11"/>
      <c r="AP375" s="11">
        <v>177</v>
      </c>
      <c r="AQ375" s="11"/>
      <c r="AR375" s="11"/>
      <c r="AS375" s="11"/>
      <c r="AT375" s="11"/>
      <c r="AU375" s="20" t="str">
        <f>HYPERLINK("http://www.openstreetmap.org/?mlat=33.9982&amp;mlon=44.975&amp;zoom=12#map=12/33.9982/44.975","Maplink1")</f>
        <v>Maplink1</v>
      </c>
      <c r="AV375" s="20" t="str">
        <f>HYPERLINK("https://www.google.iq/maps/search/+33.9982,44.975/@33.9982,44.975,14z?hl=en","Maplink2")</f>
        <v>Maplink2</v>
      </c>
      <c r="AW375" s="20" t="str">
        <f>HYPERLINK("http://www.bing.com/maps/?lvl=14&amp;sty=h&amp;cp=33.9982~44.975&amp;sp=point.33.9982_44.975","Maplink3")</f>
        <v>Maplink3</v>
      </c>
    </row>
    <row r="376" spans="1:49" x14ac:dyDescent="0.25">
      <c r="A376" s="9">
        <v>25948</v>
      </c>
      <c r="B376" s="10" t="s">
        <v>13</v>
      </c>
      <c r="C376" s="10" t="s">
        <v>640</v>
      </c>
      <c r="D376" s="10" t="s">
        <v>726</v>
      </c>
      <c r="E376" s="10" t="s">
        <v>727</v>
      </c>
      <c r="F376" s="10">
        <v>34.048459999999999</v>
      </c>
      <c r="G376" s="10">
        <v>44.98265</v>
      </c>
      <c r="H376" s="11">
        <v>498</v>
      </c>
      <c r="I376" s="11">
        <v>2988</v>
      </c>
      <c r="J376" s="11"/>
      <c r="K376" s="11"/>
      <c r="L376" s="11"/>
      <c r="M376" s="11"/>
      <c r="N376" s="11"/>
      <c r="O376" s="11">
        <v>492</v>
      </c>
      <c r="P376" s="11"/>
      <c r="Q376" s="11"/>
      <c r="R376" s="11">
        <v>6</v>
      </c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>
        <v>352</v>
      </c>
      <c r="AD376" s="11"/>
      <c r="AE376" s="11"/>
      <c r="AF376" s="11"/>
      <c r="AG376" s="11"/>
      <c r="AH376" s="11"/>
      <c r="AI376" s="11"/>
      <c r="AJ376" s="11"/>
      <c r="AK376" s="11">
        <v>146</v>
      </c>
      <c r="AL376" s="11"/>
      <c r="AM376" s="11"/>
      <c r="AN376" s="11">
        <v>136</v>
      </c>
      <c r="AO376" s="11"/>
      <c r="AP376" s="11">
        <v>362</v>
      </c>
      <c r="AQ376" s="11"/>
      <c r="AR376" s="11"/>
      <c r="AS376" s="11"/>
      <c r="AT376" s="11"/>
      <c r="AU376" s="20" t="str">
        <f>HYPERLINK("http://www.openstreetmap.org/?mlat=34.0485&amp;mlon=44.9827&amp;zoom=12#map=12/34.0485/44.9827","Maplink1")</f>
        <v>Maplink1</v>
      </c>
      <c r="AV376" s="20" t="str">
        <f>HYPERLINK("https://www.google.iq/maps/search/+34.0485,44.9827/@34.0485,44.9827,14z?hl=en","Maplink2")</f>
        <v>Maplink2</v>
      </c>
      <c r="AW376" s="20" t="str">
        <f>HYPERLINK("http://www.bing.com/maps/?lvl=14&amp;sty=h&amp;cp=34.0485~44.9827&amp;sp=point.34.0485_44.9827","Maplink3")</f>
        <v>Maplink3</v>
      </c>
    </row>
    <row r="377" spans="1:49" x14ac:dyDescent="0.25">
      <c r="A377" s="9">
        <v>26029</v>
      </c>
      <c r="B377" s="10" t="s">
        <v>13</v>
      </c>
      <c r="C377" s="10" t="s">
        <v>640</v>
      </c>
      <c r="D377" s="10" t="s">
        <v>728</v>
      </c>
      <c r="E377" s="10" t="s">
        <v>729</v>
      </c>
      <c r="F377" s="10">
        <v>33.991300000000003</v>
      </c>
      <c r="G377" s="10">
        <v>44.871499999999997</v>
      </c>
      <c r="H377" s="11">
        <v>380</v>
      </c>
      <c r="I377" s="11">
        <v>2280</v>
      </c>
      <c r="J377" s="11"/>
      <c r="K377" s="11"/>
      <c r="L377" s="11"/>
      <c r="M377" s="11"/>
      <c r="N377" s="11"/>
      <c r="O377" s="11">
        <v>380</v>
      </c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>
        <v>200</v>
      </c>
      <c r="AD377" s="11"/>
      <c r="AE377" s="11"/>
      <c r="AF377" s="11"/>
      <c r="AG377" s="11"/>
      <c r="AH377" s="11"/>
      <c r="AI377" s="11"/>
      <c r="AJ377" s="11"/>
      <c r="AK377" s="11">
        <v>180</v>
      </c>
      <c r="AL377" s="11"/>
      <c r="AM377" s="11"/>
      <c r="AN377" s="11"/>
      <c r="AO377" s="11"/>
      <c r="AP377" s="11">
        <v>380</v>
      </c>
      <c r="AQ377" s="11"/>
      <c r="AR377" s="11"/>
      <c r="AS377" s="11"/>
      <c r="AT377" s="11"/>
      <c r="AU377" s="20" t="str">
        <f>HYPERLINK("http://www.openstreetmap.org/?mlat=33.9913&amp;mlon=44.8715&amp;zoom=12#map=12/33.9913/44.8715","Maplink1")</f>
        <v>Maplink1</v>
      </c>
      <c r="AV377" s="20" t="str">
        <f>HYPERLINK("https://www.google.iq/maps/search/+33.9913,44.8715/@33.9913,44.8715,14z?hl=en","Maplink2")</f>
        <v>Maplink2</v>
      </c>
      <c r="AW377" s="20" t="str">
        <f>HYPERLINK("http://www.bing.com/maps/?lvl=14&amp;sty=h&amp;cp=33.9913~44.8715&amp;sp=point.33.9913_44.8715","Maplink3")</f>
        <v>Maplink3</v>
      </c>
    </row>
    <row r="378" spans="1:49" x14ac:dyDescent="0.25">
      <c r="A378" s="9">
        <v>32077</v>
      </c>
      <c r="B378" s="10" t="s">
        <v>13</v>
      </c>
      <c r="C378" s="10" t="s">
        <v>640</v>
      </c>
      <c r="D378" s="10" t="s">
        <v>730</v>
      </c>
      <c r="E378" s="10" t="s">
        <v>731</v>
      </c>
      <c r="F378" s="10">
        <v>34.011177000000004</v>
      </c>
      <c r="G378" s="10">
        <v>45.001268000000003</v>
      </c>
      <c r="H378" s="11">
        <v>2</v>
      </c>
      <c r="I378" s="11">
        <v>12</v>
      </c>
      <c r="J378" s="11"/>
      <c r="K378" s="11"/>
      <c r="L378" s="11"/>
      <c r="M378" s="11"/>
      <c r="N378" s="11"/>
      <c r="O378" s="11"/>
      <c r="P378" s="11"/>
      <c r="Q378" s="11"/>
      <c r="R378" s="11">
        <v>2</v>
      </c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>
        <v>2</v>
      </c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>
        <v>2</v>
      </c>
      <c r="AO378" s="11"/>
      <c r="AP378" s="11"/>
      <c r="AQ378" s="11"/>
      <c r="AR378" s="11"/>
      <c r="AS378" s="11"/>
      <c r="AT378" s="11"/>
      <c r="AU378" s="20" t="str">
        <f>HYPERLINK("http://www.openstreetmap.org/?mlat=34.0112&amp;mlon=45.0013&amp;zoom=12#map=12/34.0112/45.0013","Maplink1")</f>
        <v>Maplink1</v>
      </c>
      <c r="AV378" s="20" t="str">
        <f>HYPERLINK("https://www.google.iq/maps/search/+34.0112,45.0013/@34.0112,45.0013,14z?hl=en","Maplink2")</f>
        <v>Maplink2</v>
      </c>
      <c r="AW378" s="20" t="str">
        <f>HYPERLINK("http://www.bing.com/maps/?lvl=14&amp;sty=h&amp;cp=34.0112~45.0013&amp;sp=point.34.0112_45.0013","Maplink3")</f>
        <v>Maplink3</v>
      </c>
    </row>
    <row r="379" spans="1:49" x14ac:dyDescent="0.25">
      <c r="A379" s="9">
        <v>26115</v>
      </c>
      <c r="B379" s="10" t="s">
        <v>13</v>
      </c>
      <c r="C379" s="10" t="s">
        <v>640</v>
      </c>
      <c r="D379" s="10" t="s">
        <v>732</v>
      </c>
      <c r="E379" s="10" t="s">
        <v>733</v>
      </c>
      <c r="F379" s="10">
        <v>34.001574262299997</v>
      </c>
      <c r="G379" s="10">
        <v>44.935057387900002</v>
      </c>
      <c r="H379" s="11">
        <v>888</v>
      </c>
      <c r="I379" s="11">
        <v>5328</v>
      </c>
      <c r="J379" s="11"/>
      <c r="K379" s="11"/>
      <c r="L379" s="11"/>
      <c r="M379" s="11"/>
      <c r="N379" s="11"/>
      <c r="O379" s="11">
        <v>806</v>
      </c>
      <c r="P379" s="11"/>
      <c r="Q379" s="11"/>
      <c r="R379" s="11">
        <v>50</v>
      </c>
      <c r="S379" s="11"/>
      <c r="T379" s="11"/>
      <c r="U379" s="11"/>
      <c r="V379" s="11"/>
      <c r="W379" s="11"/>
      <c r="X379" s="11"/>
      <c r="Y379" s="11">
        <v>32</v>
      </c>
      <c r="Z379" s="11"/>
      <c r="AA379" s="11"/>
      <c r="AB379" s="11"/>
      <c r="AC379" s="11">
        <v>774</v>
      </c>
      <c r="AD379" s="11"/>
      <c r="AE379" s="11"/>
      <c r="AF379" s="11"/>
      <c r="AG379" s="11"/>
      <c r="AH379" s="11"/>
      <c r="AI379" s="11"/>
      <c r="AJ379" s="11"/>
      <c r="AK379" s="11">
        <v>114</v>
      </c>
      <c r="AL379" s="11"/>
      <c r="AM379" s="11"/>
      <c r="AN379" s="11"/>
      <c r="AO379" s="11"/>
      <c r="AP379" s="11">
        <v>888</v>
      </c>
      <c r="AQ379" s="11"/>
      <c r="AR379" s="11"/>
      <c r="AS379" s="11"/>
      <c r="AT379" s="11"/>
      <c r="AU379" s="20" t="str">
        <f>HYPERLINK("http://www.openstreetmap.org/?mlat=34.0016&amp;mlon=44.9351&amp;zoom=12#map=12/34.0016/44.9351","Maplink1")</f>
        <v>Maplink1</v>
      </c>
      <c r="AV379" s="20" t="str">
        <f>HYPERLINK("https://www.google.iq/maps/search/+34.0016,44.9351/@34.0016,44.9351,14z?hl=en","Maplink2")</f>
        <v>Maplink2</v>
      </c>
      <c r="AW379" s="20" t="str">
        <f>HYPERLINK("http://www.bing.com/maps/?lvl=14&amp;sty=h&amp;cp=34.0016~44.9351&amp;sp=point.34.0016_44.9351","Maplink3")</f>
        <v>Maplink3</v>
      </c>
    </row>
    <row r="380" spans="1:49" x14ac:dyDescent="0.25">
      <c r="A380" s="9">
        <v>26031</v>
      </c>
      <c r="B380" s="10" t="s">
        <v>13</v>
      </c>
      <c r="C380" s="10" t="s">
        <v>640</v>
      </c>
      <c r="D380" s="10" t="s">
        <v>734</v>
      </c>
      <c r="E380" s="10" t="s">
        <v>735</v>
      </c>
      <c r="F380" s="10">
        <v>34.037039999999998</v>
      </c>
      <c r="G380" s="10">
        <v>44.929110000000001</v>
      </c>
      <c r="H380" s="11">
        <v>65</v>
      </c>
      <c r="I380" s="11">
        <v>390</v>
      </c>
      <c r="J380" s="11"/>
      <c r="K380" s="11"/>
      <c r="L380" s="11"/>
      <c r="M380" s="11"/>
      <c r="N380" s="11"/>
      <c r="O380" s="11">
        <v>57</v>
      </c>
      <c r="P380" s="11"/>
      <c r="Q380" s="11"/>
      <c r="R380" s="11">
        <v>3</v>
      </c>
      <c r="S380" s="11"/>
      <c r="T380" s="11"/>
      <c r="U380" s="11"/>
      <c r="V380" s="11"/>
      <c r="W380" s="11"/>
      <c r="X380" s="11"/>
      <c r="Y380" s="11">
        <v>5</v>
      </c>
      <c r="Z380" s="11"/>
      <c r="AA380" s="11"/>
      <c r="AB380" s="11"/>
      <c r="AC380" s="11">
        <v>30</v>
      </c>
      <c r="AD380" s="11"/>
      <c r="AE380" s="11"/>
      <c r="AF380" s="11"/>
      <c r="AG380" s="11"/>
      <c r="AH380" s="11"/>
      <c r="AI380" s="11"/>
      <c r="AJ380" s="11"/>
      <c r="AK380" s="11">
        <v>35</v>
      </c>
      <c r="AL380" s="11"/>
      <c r="AM380" s="11"/>
      <c r="AN380" s="11"/>
      <c r="AO380" s="11"/>
      <c r="AP380" s="11">
        <v>65</v>
      </c>
      <c r="AQ380" s="11"/>
      <c r="AR380" s="11"/>
      <c r="AS380" s="11"/>
      <c r="AT380" s="11"/>
      <c r="AU380" s="20" t="str">
        <f>HYPERLINK("http://www.openstreetmap.org/?mlat=34.037&amp;mlon=44.9291&amp;zoom=12#map=12/34.037/44.9291","Maplink1")</f>
        <v>Maplink1</v>
      </c>
      <c r="AV380" s="20" t="str">
        <f>HYPERLINK("https://www.google.iq/maps/search/+34.037,44.9291/@34.037,44.9291,14z?hl=en","Maplink2")</f>
        <v>Maplink2</v>
      </c>
      <c r="AW380" s="20" t="str">
        <f>HYPERLINK("http://www.bing.com/maps/?lvl=14&amp;sty=h&amp;cp=34.037~44.9291&amp;sp=point.34.037_44.9291","Maplink3")</f>
        <v>Maplink3</v>
      </c>
    </row>
    <row r="381" spans="1:49" x14ac:dyDescent="0.25">
      <c r="A381" s="9">
        <v>11287</v>
      </c>
      <c r="B381" s="10" t="s">
        <v>13</v>
      </c>
      <c r="C381" s="10" t="s">
        <v>640</v>
      </c>
      <c r="D381" s="10" t="s">
        <v>736</v>
      </c>
      <c r="E381" s="10" t="s">
        <v>737</v>
      </c>
      <c r="F381" s="10">
        <v>34.003206270600003</v>
      </c>
      <c r="G381" s="10">
        <v>44.980897196199997</v>
      </c>
      <c r="H381" s="11">
        <v>319</v>
      </c>
      <c r="I381" s="11">
        <v>1914</v>
      </c>
      <c r="J381" s="11"/>
      <c r="K381" s="11"/>
      <c r="L381" s="11"/>
      <c r="M381" s="11"/>
      <c r="N381" s="11"/>
      <c r="O381" s="11">
        <v>219</v>
      </c>
      <c r="P381" s="11"/>
      <c r="Q381" s="11"/>
      <c r="R381" s="11"/>
      <c r="S381" s="11"/>
      <c r="T381" s="11"/>
      <c r="U381" s="11"/>
      <c r="V381" s="11"/>
      <c r="W381" s="11"/>
      <c r="X381" s="11"/>
      <c r="Y381" s="11">
        <v>100</v>
      </c>
      <c r="Z381" s="11"/>
      <c r="AA381" s="11"/>
      <c r="AB381" s="11"/>
      <c r="AC381" s="11">
        <v>174</v>
      </c>
      <c r="AD381" s="11"/>
      <c r="AE381" s="11"/>
      <c r="AF381" s="11"/>
      <c r="AG381" s="11"/>
      <c r="AH381" s="11"/>
      <c r="AI381" s="11"/>
      <c r="AJ381" s="11"/>
      <c r="AK381" s="11">
        <v>145</v>
      </c>
      <c r="AL381" s="11"/>
      <c r="AM381" s="11"/>
      <c r="AN381" s="11"/>
      <c r="AO381" s="11"/>
      <c r="AP381" s="11">
        <v>319</v>
      </c>
      <c r="AQ381" s="11"/>
      <c r="AR381" s="11"/>
      <c r="AS381" s="11"/>
      <c r="AT381" s="11"/>
      <c r="AU381" s="20" t="str">
        <f>HYPERLINK("http://www.openstreetmap.org/?mlat=34.0032&amp;mlon=44.9809&amp;zoom=12#map=12/34.0032/44.9809","Maplink1")</f>
        <v>Maplink1</v>
      </c>
      <c r="AV381" s="20" t="str">
        <f>HYPERLINK("https://www.google.iq/maps/search/+34.0032,44.9809/@34.0032,44.9809,14z?hl=en","Maplink2")</f>
        <v>Maplink2</v>
      </c>
      <c r="AW381" s="20" t="str">
        <f>HYPERLINK("http://www.bing.com/maps/?lvl=14&amp;sty=h&amp;cp=34.0032~44.9809&amp;sp=point.34.0032_44.9809","Maplink3")</f>
        <v>Maplink3</v>
      </c>
    </row>
    <row r="382" spans="1:49" x14ac:dyDescent="0.25">
      <c r="A382" s="9">
        <v>23131</v>
      </c>
      <c r="B382" s="10" t="s">
        <v>13</v>
      </c>
      <c r="C382" s="10" t="s">
        <v>640</v>
      </c>
      <c r="D382" s="10" t="s">
        <v>738</v>
      </c>
      <c r="E382" s="10" t="s">
        <v>739</v>
      </c>
      <c r="F382" s="10">
        <v>34.0208901743</v>
      </c>
      <c r="G382" s="10">
        <v>44.932321139000003</v>
      </c>
      <c r="H382" s="11">
        <v>49</v>
      </c>
      <c r="I382" s="11">
        <v>294</v>
      </c>
      <c r="J382" s="11"/>
      <c r="K382" s="11"/>
      <c r="L382" s="11"/>
      <c r="M382" s="11"/>
      <c r="N382" s="11"/>
      <c r="O382" s="11">
        <v>49</v>
      </c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>
        <v>49</v>
      </c>
      <c r="AL382" s="11"/>
      <c r="AM382" s="11"/>
      <c r="AN382" s="11"/>
      <c r="AO382" s="11"/>
      <c r="AP382" s="11">
        <v>49</v>
      </c>
      <c r="AQ382" s="11"/>
      <c r="AR382" s="11"/>
      <c r="AS382" s="11"/>
      <c r="AT382" s="11"/>
      <c r="AU382" s="20" t="str">
        <f>HYPERLINK("http://www.openstreetmap.org/?mlat=34.0209&amp;mlon=44.9323&amp;zoom=12#map=12/34.0209/44.9323","Maplink1")</f>
        <v>Maplink1</v>
      </c>
      <c r="AV382" s="20" t="str">
        <f>HYPERLINK("https://www.google.iq/maps/search/+34.0209,44.9323/@34.0209,44.9323,14z?hl=en","Maplink2")</f>
        <v>Maplink2</v>
      </c>
      <c r="AW382" s="20" t="str">
        <f>HYPERLINK("http://www.bing.com/maps/?lvl=14&amp;sty=h&amp;cp=34.0209~44.9323&amp;sp=point.34.0209_44.9323","Maplink3")</f>
        <v>Maplink3</v>
      </c>
    </row>
    <row r="383" spans="1:49" x14ac:dyDescent="0.25">
      <c r="A383" s="9">
        <v>25679</v>
      </c>
      <c r="B383" s="10" t="s">
        <v>13</v>
      </c>
      <c r="C383" s="10" t="s">
        <v>640</v>
      </c>
      <c r="D383" s="10" t="s">
        <v>740</v>
      </c>
      <c r="E383" s="10" t="s">
        <v>741</v>
      </c>
      <c r="F383" s="10">
        <v>34.0237590005</v>
      </c>
      <c r="G383" s="10">
        <v>44.996196449400003</v>
      </c>
      <c r="H383" s="11">
        <v>140</v>
      </c>
      <c r="I383" s="11">
        <v>840</v>
      </c>
      <c r="J383" s="11"/>
      <c r="K383" s="11"/>
      <c r="L383" s="11"/>
      <c r="M383" s="11"/>
      <c r="N383" s="11"/>
      <c r="O383" s="11">
        <v>140</v>
      </c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>
        <v>40</v>
      </c>
      <c r="AD383" s="11"/>
      <c r="AE383" s="11"/>
      <c r="AF383" s="11"/>
      <c r="AG383" s="11"/>
      <c r="AH383" s="11"/>
      <c r="AI383" s="11"/>
      <c r="AJ383" s="11"/>
      <c r="AK383" s="11">
        <v>100</v>
      </c>
      <c r="AL383" s="11"/>
      <c r="AM383" s="11"/>
      <c r="AN383" s="11"/>
      <c r="AO383" s="11"/>
      <c r="AP383" s="11">
        <v>140</v>
      </c>
      <c r="AQ383" s="11"/>
      <c r="AR383" s="11"/>
      <c r="AS383" s="11"/>
      <c r="AT383" s="11"/>
      <c r="AU383" s="20" t="str">
        <f>HYPERLINK("http://www.openstreetmap.org/?mlat=34.0238&amp;mlon=44.9962&amp;zoom=12#map=12/34.0238/44.9962","Maplink1")</f>
        <v>Maplink1</v>
      </c>
      <c r="AV383" s="20" t="str">
        <f>HYPERLINK("https://www.google.iq/maps/search/+34.0238,44.9962/@34.0238,44.9962,14z?hl=en","Maplink2")</f>
        <v>Maplink2</v>
      </c>
      <c r="AW383" s="20" t="str">
        <f>HYPERLINK("http://www.bing.com/maps/?lvl=14&amp;sty=h&amp;cp=34.0238~44.9962&amp;sp=point.34.0238_44.9962","Maplink3")</f>
        <v>Maplink3</v>
      </c>
    </row>
    <row r="384" spans="1:49" x14ac:dyDescent="0.25">
      <c r="A384" s="9">
        <v>26113</v>
      </c>
      <c r="B384" s="10" t="s">
        <v>13</v>
      </c>
      <c r="C384" s="10" t="s">
        <v>640</v>
      </c>
      <c r="D384" s="10" t="s">
        <v>742</v>
      </c>
      <c r="E384" s="10" t="s">
        <v>743</v>
      </c>
      <c r="F384" s="10">
        <v>34.059930000000001</v>
      </c>
      <c r="G384" s="10">
        <v>44.981920000000002</v>
      </c>
      <c r="H384" s="11">
        <v>60</v>
      </c>
      <c r="I384" s="11">
        <v>360</v>
      </c>
      <c r="J384" s="11"/>
      <c r="K384" s="11"/>
      <c r="L384" s="11"/>
      <c r="M384" s="11"/>
      <c r="N384" s="11"/>
      <c r="O384" s="11">
        <v>60</v>
      </c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>
        <v>60</v>
      </c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>
        <v>60</v>
      </c>
      <c r="AQ384" s="11"/>
      <c r="AR384" s="11"/>
      <c r="AS384" s="11"/>
      <c r="AT384" s="11"/>
      <c r="AU384" s="20" t="str">
        <f>HYPERLINK("http://www.openstreetmap.org/?mlat=34.0599&amp;mlon=44.9819&amp;zoom=12#map=12/34.0599/44.9819","Maplink1")</f>
        <v>Maplink1</v>
      </c>
      <c r="AV384" s="20" t="str">
        <f>HYPERLINK("https://www.google.iq/maps/search/+34.0599,44.9819/@34.0599,44.9819,14z?hl=en","Maplink2")</f>
        <v>Maplink2</v>
      </c>
      <c r="AW384" s="20" t="str">
        <f>HYPERLINK("http://www.bing.com/maps/?lvl=14&amp;sty=h&amp;cp=34.0599~44.9819&amp;sp=point.34.0599_44.9819","Maplink3")</f>
        <v>Maplink3</v>
      </c>
    </row>
    <row r="385" spans="1:49" x14ac:dyDescent="0.25">
      <c r="A385" s="9">
        <v>27155</v>
      </c>
      <c r="B385" s="10" t="s">
        <v>13</v>
      </c>
      <c r="C385" s="10" t="s">
        <v>640</v>
      </c>
      <c r="D385" s="10" t="s">
        <v>744</v>
      </c>
      <c r="E385" s="10" t="s">
        <v>745</v>
      </c>
      <c r="F385" s="10">
        <v>33.9900964343</v>
      </c>
      <c r="G385" s="10">
        <v>44.936220613499998</v>
      </c>
      <c r="H385" s="11">
        <v>75</v>
      </c>
      <c r="I385" s="11">
        <v>450</v>
      </c>
      <c r="J385" s="11"/>
      <c r="K385" s="11"/>
      <c r="L385" s="11"/>
      <c r="M385" s="11"/>
      <c r="N385" s="11"/>
      <c r="O385" s="11">
        <v>60</v>
      </c>
      <c r="P385" s="11"/>
      <c r="Q385" s="11"/>
      <c r="R385" s="11">
        <v>15</v>
      </c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>
        <v>20</v>
      </c>
      <c r="AD385" s="11"/>
      <c r="AE385" s="11"/>
      <c r="AF385" s="11"/>
      <c r="AG385" s="11"/>
      <c r="AH385" s="11"/>
      <c r="AI385" s="11"/>
      <c r="AJ385" s="11"/>
      <c r="AK385" s="11">
        <v>55</v>
      </c>
      <c r="AL385" s="11"/>
      <c r="AM385" s="11"/>
      <c r="AN385" s="11">
        <v>60</v>
      </c>
      <c r="AO385" s="11"/>
      <c r="AP385" s="11">
        <v>15</v>
      </c>
      <c r="AQ385" s="11"/>
      <c r="AR385" s="11"/>
      <c r="AS385" s="11"/>
      <c r="AT385" s="11"/>
      <c r="AU385" s="20" t="str">
        <f>HYPERLINK("http://www.openstreetmap.org/?mlat=33.9901&amp;mlon=44.9362&amp;zoom=12#map=12/33.9901/44.9362","Maplink1")</f>
        <v>Maplink1</v>
      </c>
      <c r="AV385" s="20" t="str">
        <f>HYPERLINK("https://www.google.iq/maps/search/+33.9901,44.9362/@33.9901,44.9362,14z?hl=en","Maplink2")</f>
        <v>Maplink2</v>
      </c>
      <c r="AW385" s="20" t="str">
        <f>HYPERLINK("http://www.bing.com/maps/?lvl=14&amp;sty=h&amp;cp=33.9901~44.9362&amp;sp=point.33.9901_44.9362","Maplink3")</f>
        <v>Maplink3</v>
      </c>
    </row>
    <row r="386" spans="1:49" x14ac:dyDescent="0.25">
      <c r="A386" s="9">
        <v>27156</v>
      </c>
      <c r="B386" s="10" t="s">
        <v>13</v>
      </c>
      <c r="C386" s="10" t="s">
        <v>640</v>
      </c>
      <c r="D386" s="10" t="s">
        <v>746</v>
      </c>
      <c r="E386" s="10" t="s">
        <v>747</v>
      </c>
      <c r="F386" s="10">
        <v>33.992420813000003</v>
      </c>
      <c r="G386" s="10">
        <v>44.935857447099998</v>
      </c>
      <c r="H386" s="11">
        <v>65</v>
      </c>
      <c r="I386" s="11">
        <v>390</v>
      </c>
      <c r="J386" s="11"/>
      <c r="K386" s="11"/>
      <c r="L386" s="11"/>
      <c r="M386" s="11"/>
      <c r="N386" s="11"/>
      <c r="O386" s="11">
        <v>50</v>
      </c>
      <c r="P386" s="11"/>
      <c r="Q386" s="11"/>
      <c r="R386" s="11">
        <v>15</v>
      </c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>
        <v>18</v>
      </c>
      <c r="AD386" s="11"/>
      <c r="AE386" s="11"/>
      <c r="AF386" s="11"/>
      <c r="AG386" s="11"/>
      <c r="AH386" s="11"/>
      <c r="AI386" s="11"/>
      <c r="AJ386" s="11"/>
      <c r="AK386" s="11">
        <v>47</v>
      </c>
      <c r="AL386" s="11"/>
      <c r="AM386" s="11"/>
      <c r="AN386" s="11">
        <v>65</v>
      </c>
      <c r="AO386" s="11"/>
      <c r="AP386" s="11"/>
      <c r="AQ386" s="11"/>
      <c r="AR386" s="11"/>
      <c r="AS386" s="11"/>
      <c r="AT386" s="11"/>
      <c r="AU386" s="20" t="str">
        <f>HYPERLINK("http://www.openstreetmap.org/?mlat=33.9924&amp;mlon=44.9359&amp;zoom=12#map=12/33.9924/44.9359","Maplink1")</f>
        <v>Maplink1</v>
      </c>
      <c r="AV386" s="20" t="str">
        <f>HYPERLINK("https://www.google.iq/maps/search/+33.9924,44.9359/@33.9924,44.9359,14z?hl=en","Maplink2")</f>
        <v>Maplink2</v>
      </c>
      <c r="AW386" s="20" t="str">
        <f>HYPERLINK("http://www.bing.com/maps/?lvl=14&amp;sty=h&amp;cp=33.9924~44.9359&amp;sp=point.33.9924_44.9359","Maplink3")</f>
        <v>Maplink3</v>
      </c>
    </row>
    <row r="387" spans="1:49" x14ac:dyDescent="0.25">
      <c r="A387" s="9">
        <v>27392</v>
      </c>
      <c r="B387" s="10" t="s">
        <v>13</v>
      </c>
      <c r="C387" s="10" t="s">
        <v>748</v>
      </c>
      <c r="D387" s="10" t="s">
        <v>749</v>
      </c>
      <c r="E387" s="10" t="s">
        <v>750</v>
      </c>
      <c r="F387" s="10">
        <v>34.185584178299997</v>
      </c>
      <c r="G387" s="10">
        <v>45.120808439400001</v>
      </c>
      <c r="H387" s="11">
        <v>378</v>
      </c>
      <c r="I387" s="11">
        <v>2268</v>
      </c>
      <c r="J387" s="11"/>
      <c r="K387" s="11"/>
      <c r="L387" s="11"/>
      <c r="M387" s="11"/>
      <c r="N387" s="11"/>
      <c r="O387" s="11">
        <v>340</v>
      </c>
      <c r="P387" s="11"/>
      <c r="Q387" s="11"/>
      <c r="R387" s="11">
        <v>15</v>
      </c>
      <c r="S387" s="11"/>
      <c r="T387" s="11"/>
      <c r="U387" s="11"/>
      <c r="V387" s="11"/>
      <c r="W387" s="11"/>
      <c r="X387" s="11"/>
      <c r="Y387" s="11">
        <v>23</v>
      </c>
      <c r="Z387" s="11"/>
      <c r="AA387" s="11"/>
      <c r="AB387" s="11"/>
      <c r="AC387" s="11">
        <v>378</v>
      </c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>
        <v>378</v>
      </c>
      <c r="AO387" s="11"/>
      <c r="AP387" s="11"/>
      <c r="AQ387" s="11"/>
      <c r="AR387" s="11"/>
      <c r="AS387" s="11"/>
      <c r="AT387" s="11"/>
      <c r="AU387" s="20" t="str">
        <f>HYPERLINK("http://www.openstreetmap.org/?mlat=34.1856&amp;mlon=45.1208&amp;zoom=12#map=12/34.1856/45.1208","Maplink1")</f>
        <v>Maplink1</v>
      </c>
      <c r="AV387" s="20" t="str">
        <f>HYPERLINK("https://www.google.iq/maps/search/+34.1856,45.1208/@34.1856,45.1208,14z?hl=en","Maplink2")</f>
        <v>Maplink2</v>
      </c>
      <c r="AW387" s="20" t="str">
        <f>HYPERLINK("http://www.bing.com/maps/?lvl=14&amp;sty=h&amp;cp=34.1856~45.1208&amp;sp=point.34.1856_45.1208","Maplink3")</f>
        <v>Maplink3</v>
      </c>
    </row>
    <row r="388" spans="1:49" x14ac:dyDescent="0.25">
      <c r="A388" s="9">
        <v>32021</v>
      </c>
      <c r="B388" s="10" t="s">
        <v>13</v>
      </c>
      <c r="C388" s="10" t="s">
        <v>748</v>
      </c>
      <c r="D388" s="10" t="s">
        <v>751</v>
      </c>
      <c r="E388" s="10" t="s">
        <v>752</v>
      </c>
      <c r="F388" s="10">
        <v>34.170099</v>
      </c>
      <c r="G388" s="10">
        <v>45.132668000000002</v>
      </c>
      <c r="H388" s="11">
        <v>325</v>
      </c>
      <c r="I388" s="11">
        <v>1950</v>
      </c>
      <c r="J388" s="11"/>
      <c r="K388" s="11"/>
      <c r="L388" s="11"/>
      <c r="M388" s="11"/>
      <c r="N388" s="11"/>
      <c r="O388" s="11">
        <v>325</v>
      </c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>
        <v>325</v>
      </c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>
        <v>325</v>
      </c>
      <c r="AO388" s="11"/>
      <c r="AP388" s="11"/>
      <c r="AQ388" s="11"/>
      <c r="AR388" s="11"/>
      <c r="AS388" s="11"/>
      <c r="AT388" s="11"/>
      <c r="AU388" s="20" t="str">
        <f>HYPERLINK("http://www.openstreetmap.org/?mlat=34.1701&amp;mlon=45.1327&amp;zoom=12#map=12/34.1701/45.1327","Maplink1")</f>
        <v>Maplink1</v>
      </c>
      <c r="AV388" s="20" t="str">
        <f>HYPERLINK("https://www.google.iq/maps/search/+34.1701,45.1327/@34.1701,45.1327,14z?hl=en","Maplink2")</f>
        <v>Maplink2</v>
      </c>
      <c r="AW388" s="20" t="str">
        <f>HYPERLINK("http://www.bing.com/maps/?lvl=14&amp;sty=h&amp;cp=34.1701~45.1327&amp;sp=point.34.1701_45.1327","Maplink3")</f>
        <v>Maplink3</v>
      </c>
    </row>
    <row r="389" spans="1:49" x14ac:dyDescent="0.25">
      <c r="A389" s="9">
        <v>11435</v>
      </c>
      <c r="B389" s="10" t="s">
        <v>13</v>
      </c>
      <c r="C389" s="10" t="s">
        <v>748</v>
      </c>
      <c r="D389" s="10" t="s">
        <v>753</v>
      </c>
      <c r="E389" s="10" t="s">
        <v>754</v>
      </c>
      <c r="F389" s="10">
        <v>34.161608339300003</v>
      </c>
      <c r="G389" s="10">
        <v>45.134660735499999</v>
      </c>
      <c r="H389" s="11">
        <v>174</v>
      </c>
      <c r="I389" s="11">
        <v>1044</v>
      </c>
      <c r="J389" s="11"/>
      <c r="K389" s="11"/>
      <c r="L389" s="11"/>
      <c r="M389" s="11"/>
      <c r="N389" s="11"/>
      <c r="O389" s="11">
        <v>140</v>
      </c>
      <c r="P389" s="11"/>
      <c r="Q389" s="11"/>
      <c r="R389" s="11">
        <v>20</v>
      </c>
      <c r="S389" s="11"/>
      <c r="T389" s="11"/>
      <c r="U389" s="11"/>
      <c r="V389" s="11"/>
      <c r="W389" s="11"/>
      <c r="X389" s="11"/>
      <c r="Y389" s="11">
        <v>14</v>
      </c>
      <c r="Z389" s="11"/>
      <c r="AA389" s="11"/>
      <c r="AB389" s="11"/>
      <c r="AC389" s="11">
        <v>30</v>
      </c>
      <c r="AD389" s="11">
        <v>100</v>
      </c>
      <c r="AE389" s="11"/>
      <c r="AF389" s="11"/>
      <c r="AG389" s="11"/>
      <c r="AH389" s="11"/>
      <c r="AI389" s="11">
        <v>14</v>
      </c>
      <c r="AJ389" s="11"/>
      <c r="AK389" s="11">
        <v>30</v>
      </c>
      <c r="AL389" s="11"/>
      <c r="AM389" s="11"/>
      <c r="AN389" s="11"/>
      <c r="AO389" s="11"/>
      <c r="AP389" s="11">
        <v>174</v>
      </c>
      <c r="AQ389" s="11"/>
      <c r="AR389" s="11"/>
      <c r="AS389" s="11"/>
      <c r="AT389" s="11"/>
      <c r="AU389" s="20" t="str">
        <f>HYPERLINK("http://www.openstreetmap.org/?mlat=34.1616&amp;mlon=45.1347&amp;zoom=12#map=12/34.1616/45.1347","Maplink1")</f>
        <v>Maplink1</v>
      </c>
      <c r="AV389" s="20" t="str">
        <f>HYPERLINK("https://www.google.iq/maps/search/+34.1616,45.1347/@34.1616,45.1347,14z?hl=en","Maplink2")</f>
        <v>Maplink2</v>
      </c>
      <c r="AW389" s="20" t="str">
        <f>HYPERLINK("http://www.bing.com/maps/?lvl=14&amp;sty=h&amp;cp=34.1616~45.1347&amp;sp=point.34.1616_45.1347","Maplink3")</f>
        <v>Maplink3</v>
      </c>
    </row>
    <row r="390" spans="1:49" x14ac:dyDescent="0.25">
      <c r="A390" s="9">
        <v>33111</v>
      </c>
      <c r="B390" s="10" t="s">
        <v>13</v>
      </c>
      <c r="C390" s="10" t="s">
        <v>748</v>
      </c>
      <c r="D390" s="10" t="s">
        <v>1599</v>
      </c>
      <c r="E390" s="10" t="s">
        <v>1600</v>
      </c>
      <c r="F390" s="10">
        <v>34.192135999999998</v>
      </c>
      <c r="G390" s="10">
        <v>45.149563000000001</v>
      </c>
      <c r="H390" s="11">
        <v>25</v>
      </c>
      <c r="I390" s="11">
        <v>150</v>
      </c>
      <c r="J390" s="11"/>
      <c r="K390" s="11"/>
      <c r="L390" s="11"/>
      <c r="M390" s="11"/>
      <c r="N390" s="11"/>
      <c r="O390" s="11">
        <v>25</v>
      </c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>
        <v>25</v>
      </c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>
        <v>25</v>
      </c>
      <c r="AO390" s="11"/>
      <c r="AP390" s="11"/>
      <c r="AQ390" s="11"/>
      <c r="AR390" s="11"/>
      <c r="AS390" s="11"/>
      <c r="AT390" s="11"/>
      <c r="AU390" s="20" t="str">
        <f>HYPERLINK("http://www.openstreetmap.org/?mlat=34.1921&amp;mlon=45.1496&amp;zoom=12#map=12/34.1921/45.1496","Maplink1")</f>
        <v>Maplink1</v>
      </c>
      <c r="AV390" s="20" t="str">
        <f>HYPERLINK("https://www.google.iq/maps/search/+34.1921,45.1496/@34.1921,45.1496,14z?hl=en","Maplink2")</f>
        <v>Maplink2</v>
      </c>
      <c r="AW390" s="20" t="str">
        <f>HYPERLINK("http://www.bing.com/maps/?lvl=14&amp;sty=h&amp;cp=34.1921~45.1496&amp;sp=point.34.1921_45.1496","Maplink3")</f>
        <v>Maplink3</v>
      </c>
    </row>
    <row r="391" spans="1:49" x14ac:dyDescent="0.25">
      <c r="A391" s="9">
        <v>25702</v>
      </c>
      <c r="B391" s="10" t="s">
        <v>13</v>
      </c>
      <c r="C391" s="10" t="s">
        <v>748</v>
      </c>
      <c r="D391" s="10" t="s">
        <v>755</v>
      </c>
      <c r="E391" s="10" t="s">
        <v>756</v>
      </c>
      <c r="F391" s="10">
        <v>34.311106870800003</v>
      </c>
      <c r="G391" s="10">
        <v>45.162552345599998</v>
      </c>
      <c r="H391" s="11">
        <v>220</v>
      </c>
      <c r="I391" s="11">
        <v>1320</v>
      </c>
      <c r="J391" s="11"/>
      <c r="K391" s="11"/>
      <c r="L391" s="11"/>
      <c r="M391" s="11"/>
      <c r="N391" s="11"/>
      <c r="O391" s="11">
        <v>120</v>
      </c>
      <c r="P391" s="11"/>
      <c r="Q391" s="11"/>
      <c r="R391" s="11">
        <v>40</v>
      </c>
      <c r="S391" s="11"/>
      <c r="T391" s="11"/>
      <c r="U391" s="11"/>
      <c r="V391" s="11"/>
      <c r="W391" s="11"/>
      <c r="X391" s="11"/>
      <c r="Y391" s="11">
        <v>60</v>
      </c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>
        <v>220</v>
      </c>
      <c r="AL391" s="11"/>
      <c r="AM391" s="11"/>
      <c r="AN391" s="11"/>
      <c r="AO391" s="11"/>
      <c r="AP391" s="11">
        <v>220</v>
      </c>
      <c r="AQ391" s="11"/>
      <c r="AR391" s="11"/>
      <c r="AS391" s="11"/>
      <c r="AT391" s="11"/>
      <c r="AU391" s="20" t="str">
        <f>HYPERLINK("http://www.openstreetmap.org/?mlat=34.3111&amp;mlon=45.1626&amp;zoom=12#map=12/34.3111/45.1626","Maplink1")</f>
        <v>Maplink1</v>
      </c>
      <c r="AV391" s="20" t="str">
        <f>HYPERLINK("https://www.google.iq/maps/search/+34.3111,45.1626/@34.3111,45.1626,14z?hl=en","Maplink2")</f>
        <v>Maplink2</v>
      </c>
      <c r="AW391" s="20" t="str">
        <f>HYPERLINK("http://www.bing.com/maps/?lvl=14&amp;sty=h&amp;cp=34.3111~45.1626&amp;sp=point.34.3111_45.1626","Maplink3")</f>
        <v>Maplink3</v>
      </c>
    </row>
    <row r="392" spans="1:49" x14ac:dyDescent="0.25">
      <c r="A392" s="9">
        <v>26124</v>
      </c>
      <c r="B392" s="10" t="s">
        <v>13</v>
      </c>
      <c r="C392" s="10" t="s">
        <v>748</v>
      </c>
      <c r="D392" s="10" t="s">
        <v>757</v>
      </c>
      <c r="E392" s="10" t="s">
        <v>758</v>
      </c>
      <c r="F392" s="10">
        <v>34.188362410000003</v>
      </c>
      <c r="G392" s="10">
        <v>45.118962860000003</v>
      </c>
      <c r="H392" s="11">
        <v>308</v>
      </c>
      <c r="I392" s="11">
        <v>1848</v>
      </c>
      <c r="J392" s="11"/>
      <c r="K392" s="11"/>
      <c r="L392" s="11"/>
      <c r="M392" s="11"/>
      <c r="N392" s="11"/>
      <c r="O392" s="11">
        <v>280</v>
      </c>
      <c r="P392" s="11">
        <v>5</v>
      </c>
      <c r="Q392" s="11"/>
      <c r="R392" s="11">
        <v>11</v>
      </c>
      <c r="S392" s="11"/>
      <c r="T392" s="11"/>
      <c r="U392" s="11"/>
      <c r="V392" s="11"/>
      <c r="W392" s="11"/>
      <c r="X392" s="11"/>
      <c r="Y392" s="11">
        <v>12</v>
      </c>
      <c r="Z392" s="11"/>
      <c r="AA392" s="11"/>
      <c r="AB392" s="11"/>
      <c r="AC392" s="11">
        <v>180</v>
      </c>
      <c r="AD392" s="11">
        <v>61</v>
      </c>
      <c r="AE392" s="11"/>
      <c r="AF392" s="11"/>
      <c r="AG392" s="11"/>
      <c r="AH392" s="11"/>
      <c r="AI392" s="11"/>
      <c r="AJ392" s="11"/>
      <c r="AK392" s="11">
        <v>67</v>
      </c>
      <c r="AL392" s="11"/>
      <c r="AM392" s="11"/>
      <c r="AN392" s="11">
        <v>308</v>
      </c>
      <c r="AO392" s="11"/>
      <c r="AP392" s="11"/>
      <c r="AQ392" s="11"/>
      <c r="AR392" s="11"/>
      <c r="AS392" s="11"/>
      <c r="AT392" s="11"/>
      <c r="AU392" s="20" t="str">
        <f>HYPERLINK("http://www.openstreetmap.org/?mlat=34.1884&amp;mlon=45.119&amp;zoom=12#map=12/34.1884/45.119","Maplink1")</f>
        <v>Maplink1</v>
      </c>
      <c r="AV392" s="20" t="str">
        <f>HYPERLINK("https://www.google.iq/maps/search/+34.1884,45.119/@34.1884,45.119,14z?hl=en","Maplink2")</f>
        <v>Maplink2</v>
      </c>
      <c r="AW392" s="20" t="str">
        <f>HYPERLINK("http://www.bing.com/maps/?lvl=14&amp;sty=h&amp;cp=34.1884~45.119&amp;sp=point.34.1884_45.119","Maplink3")</f>
        <v>Maplink3</v>
      </c>
    </row>
    <row r="393" spans="1:49" x14ac:dyDescent="0.25">
      <c r="A393" s="9">
        <v>29569</v>
      </c>
      <c r="B393" s="10" t="s">
        <v>13</v>
      </c>
      <c r="C393" s="10" t="s">
        <v>748</v>
      </c>
      <c r="D393" s="10" t="s">
        <v>759</v>
      </c>
      <c r="E393" s="10" t="s">
        <v>760</v>
      </c>
      <c r="F393" s="10">
        <v>34.277075619999998</v>
      </c>
      <c r="G393" s="10">
        <v>45.166801810000003</v>
      </c>
      <c r="H393" s="11">
        <v>300</v>
      </c>
      <c r="I393" s="11">
        <v>1800</v>
      </c>
      <c r="J393" s="11"/>
      <c r="K393" s="11"/>
      <c r="L393" s="11"/>
      <c r="M393" s="11"/>
      <c r="N393" s="11"/>
      <c r="O393" s="11">
        <v>250</v>
      </c>
      <c r="P393" s="11">
        <v>5</v>
      </c>
      <c r="Q393" s="11"/>
      <c r="R393" s="11">
        <v>5</v>
      </c>
      <c r="S393" s="11"/>
      <c r="T393" s="11"/>
      <c r="U393" s="11"/>
      <c r="V393" s="11"/>
      <c r="W393" s="11"/>
      <c r="X393" s="11"/>
      <c r="Y393" s="11">
        <v>40</v>
      </c>
      <c r="Z393" s="11"/>
      <c r="AA393" s="11"/>
      <c r="AB393" s="11"/>
      <c r="AC393" s="11">
        <v>300</v>
      </c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>
        <v>130</v>
      </c>
      <c r="AO393" s="11">
        <v>170</v>
      </c>
      <c r="AP393" s="11"/>
      <c r="AQ393" s="11"/>
      <c r="AR393" s="11"/>
      <c r="AS393" s="11"/>
      <c r="AT393" s="11"/>
      <c r="AU393" s="20" t="str">
        <f>HYPERLINK("http://www.openstreetmap.org/?mlat=34.2771&amp;mlon=45.1668&amp;zoom=12#map=12/34.2771/45.1668","Maplink1")</f>
        <v>Maplink1</v>
      </c>
      <c r="AV393" s="20" t="str">
        <f>HYPERLINK("https://www.google.iq/maps/search/+34.2771,45.1668/@34.2771,45.1668,14z?hl=en","Maplink2")</f>
        <v>Maplink2</v>
      </c>
      <c r="AW393" s="20" t="str">
        <f>HYPERLINK("http://www.bing.com/maps/?lvl=14&amp;sty=h&amp;cp=34.2771~45.1668&amp;sp=point.34.2771_45.1668","Maplink3")</f>
        <v>Maplink3</v>
      </c>
    </row>
    <row r="394" spans="1:49" x14ac:dyDescent="0.25">
      <c r="A394" s="9">
        <v>31753</v>
      </c>
      <c r="B394" s="10" t="s">
        <v>13</v>
      </c>
      <c r="C394" s="10" t="s">
        <v>748</v>
      </c>
      <c r="D394" s="10" t="s">
        <v>761</v>
      </c>
      <c r="E394" s="10" t="s">
        <v>762</v>
      </c>
      <c r="F394" s="10">
        <v>34.273055999999997</v>
      </c>
      <c r="G394" s="10">
        <v>45.173333</v>
      </c>
      <c r="H394" s="11">
        <v>350</v>
      </c>
      <c r="I394" s="11">
        <v>2100</v>
      </c>
      <c r="J394" s="11"/>
      <c r="K394" s="11"/>
      <c r="L394" s="11">
        <v>9</v>
      </c>
      <c r="M394" s="11"/>
      <c r="N394" s="11"/>
      <c r="O394" s="11">
        <v>280</v>
      </c>
      <c r="P394" s="11">
        <v>3</v>
      </c>
      <c r="Q394" s="11"/>
      <c r="R394" s="11">
        <v>8</v>
      </c>
      <c r="S394" s="11"/>
      <c r="T394" s="11"/>
      <c r="U394" s="11"/>
      <c r="V394" s="11"/>
      <c r="W394" s="11"/>
      <c r="X394" s="11"/>
      <c r="Y394" s="11">
        <v>50</v>
      </c>
      <c r="Z394" s="11"/>
      <c r="AA394" s="11"/>
      <c r="AB394" s="11"/>
      <c r="AC394" s="11">
        <v>350</v>
      </c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>
        <v>150</v>
      </c>
      <c r="AO394" s="11">
        <v>200</v>
      </c>
      <c r="AP394" s="11"/>
      <c r="AQ394" s="11"/>
      <c r="AR394" s="11"/>
      <c r="AS394" s="11"/>
      <c r="AT394" s="11"/>
      <c r="AU394" s="20" t="str">
        <f>HYPERLINK("http://www.openstreetmap.org/?mlat=34.2731&amp;mlon=45.1733&amp;zoom=12#map=12/34.2731/45.1733","Maplink1")</f>
        <v>Maplink1</v>
      </c>
      <c r="AV394" s="20" t="str">
        <f>HYPERLINK("https://www.google.iq/maps/search/+34.2731,45.1733/@34.2731,45.1733,14z?hl=en","Maplink2")</f>
        <v>Maplink2</v>
      </c>
      <c r="AW394" s="20" t="str">
        <f>HYPERLINK("http://www.bing.com/maps/?lvl=14&amp;sty=h&amp;cp=34.2731~45.1733&amp;sp=point.34.2731_45.1733","Maplink3")</f>
        <v>Maplink3</v>
      </c>
    </row>
    <row r="395" spans="1:49" x14ac:dyDescent="0.25">
      <c r="A395" s="9">
        <v>31754</v>
      </c>
      <c r="B395" s="10" t="s">
        <v>13</v>
      </c>
      <c r="C395" s="10" t="s">
        <v>748</v>
      </c>
      <c r="D395" s="10" t="s">
        <v>763</v>
      </c>
      <c r="E395" s="10" t="s">
        <v>764</v>
      </c>
      <c r="F395" s="10">
        <v>34.269722000000002</v>
      </c>
      <c r="G395" s="10">
        <v>45.166111000000001</v>
      </c>
      <c r="H395" s="11">
        <v>350</v>
      </c>
      <c r="I395" s="11">
        <v>2100</v>
      </c>
      <c r="J395" s="11"/>
      <c r="K395" s="11"/>
      <c r="L395" s="11"/>
      <c r="M395" s="11"/>
      <c r="N395" s="11"/>
      <c r="O395" s="11">
        <v>300</v>
      </c>
      <c r="P395" s="11"/>
      <c r="Q395" s="11"/>
      <c r="R395" s="11"/>
      <c r="S395" s="11"/>
      <c r="T395" s="11"/>
      <c r="U395" s="11"/>
      <c r="V395" s="11"/>
      <c r="W395" s="11"/>
      <c r="X395" s="11"/>
      <c r="Y395" s="11">
        <v>50</v>
      </c>
      <c r="Z395" s="11"/>
      <c r="AA395" s="11"/>
      <c r="AB395" s="11"/>
      <c r="AC395" s="11">
        <v>350</v>
      </c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>
        <v>150</v>
      </c>
      <c r="AO395" s="11">
        <v>200</v>
      </c>
      <c r="AP395" s="11"/>
      <c r="AQ395" s="11"/>
      <c r="AR395" s="11"/>
      <c r="AS395" s="11"/>
      <c r="AT395" s="11"/>
      <c r="AU395" s="20" t="str">
        <f>HYPERLINK("http://www.openstreetmap.org/?mlat=34.2697&amp;mlon=45.1661&amp;zoom=12#map=12/34.2697/45.1661","Maplink1")</f>
        <v>Maplink1</v>
      </c>
      <c r="AV395" s="20" t="str">
        <f>HYPERLINK("https://www.google.iq/maps/search/+34.2697,45.1661/@34.2697,45.1661,14z?hl=en","Maplink2")</f>
        <v>Maplink2</v>
      </c>
      <c r="AW395" s="20" t="str">
        <f>HYPERLINK("http://www.bing.com/maps/?lvl=14&amp;sty=h&amp;cp=34.2697~45.1661&amp;sp=point.34.2697_45.1661","Maplink3")</f>
        <v>Maplink3</v>
      </c>
    </row>
    <row r="396" spans="1:49" x14ac:dyDescent="0.25">
      <c r="A396" s="9">
        <v>31755</v>
      </c>
      <c r="B396" s="10" t="s">
        <v>13</v>
      </c>
      <c r="C396" s="10" t="s">
        <v>748</v>
      </c>
      <c r="D396" s="10" t="s">
        <v>765</v>
      </c>
      <c r="E396" s="10" t="s">
        <v>766</v>
      </c>
      <c r="F396" s="10">
        <v>34.268611</v>
      </c>
      <c r="G396" s="10">
        <v>45.172221999999998</v>
      </c>
      <c r="H396" s="11">
        <v>370</v>
      </c>
      <c r="I396" s="11">
        <v>2220</v>
      </c>
      <c r="J396" s="11"/>
      <c r="K396" s="11"/>
      <c r="L396" s="11">
        <v>13</v>
      </c>
      <c r="M396" s="11"/>
      <c r="N396" s="11"/>
      <c r="O396" s="11">
        <v>290</v>
      </c>
      <c r="P396" s="11"/>
      <c r="Q396" s="11"/>
      <c r="R396" s="11">
        <v>10</v>
      </c>
      <c r="S396" s="11"/>
      <c r="T396" s="11"/>
      <c r="U396" s="11"/>
      <c r="V396" s="11"/>
      <c r="W396" s="11"/>
      <c r="X396" s="11"/>
      <c r="Y396" s="11">
        <v>57</v>
      </c>
      <c r="Z396" s="11"/>
      <c r="AA396" s="11"/>
      <c r="AB396" s="11"/>
      <c r="AC396" s="11">
        <v>370</v>
      </c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>
        <v>170</v>
      </c>
      <c r="AO396" s="11">
        <v>200</v>
      </c>
      <c r="AP396" s="11"/>
      <c r="AQ396" s="11"/>
      <c r="AR396" s="11"/>
      <c r="AS396" s="11"/>
      <c r="AT396" s="11"/>
      <c r="AU396" s="20" t="str">
        <f>HYPERLINK("http://www.openstreetmap.org/?mlat=34.2686&amp;mlon=45.1722&amp;zoom=12#map=12/34.2686/45.1722","Maplink1")</f>
        <v>Maplink1</v>
      </c>
      <c r="AV396" s="20" t="str">
        <f>HYPERLINK("https://www.google.iq/maps/search/+34.2686,45.1722/@34.2686,45.1722,14z?hl=en","Maplink2")</f>
        <v>Maplink2</v>
      </c>
      <c r="AW396" s="20" t="str">
        <f>HYPERLINK("http://www.bing.com/maps/?lvl=14&amp;sty=h&amp;cp=34.2686~45.1722&amp;sp=point.34.2686_45.1722","Maplink3")</f>
        <v>Maplink3</v>
      </c>
    </row>
    <row r="397" spans="1:49" x14ac:dyDescent="0.25">
      <c r="A397" s="9">
        <v>31756</v>
      </c>
      <c r="B397" s="10" t="s">
        <v>13</v>
      </c>
      <c r="C397" s="10" t="s">
        <v>748</v>
      </c>
      <c r="D397" s="10" t="s">
        <v>767</v>
      </c>
      <c r="E397" s="10" t="s">
        <v>768</v>
      </c>
      <c r="F397" s="10">
        <v>34.267778</v>
      </c>
      <c r="G397" s="10">
        <v>45.174166999999997</v>
      </c>
      <c r="H397" s="11">
        <v>350</v>
      </c>
      <c r="I397" s="11">
        <v>2100</v>
      </c>
      <c r="J397" s="11"/>
      <c r="K397" s="11"/>
      <c r="L397" s="11">
        <v>7</v>
      </c>
      <c r="M397" s="11"/>
      <c r="N397" s="11"/>
      <c r="O397" s="11">
        <v>300</v>
      </c>
      <c r="P397" s="11"/>
      <c r="Q397" s="11"/>
      <c r="R397" s="11">
        <v>8</v>
      </c>
      <c r="S397" s="11"/>
      <c r="T397" s="11"/>
      <c r="U397" s="11"/>
      <c r="V397" s="11"/>
      <c r="W397" s="11"/>
      <c r="X397" s="11"/>
      <c r="Y397" s="11">
        <v>35</v>
      </c>
      <c r="Z397" s="11"/>
      <c r="AA397" s="11"/>
      <c r="AB397" s="11"/>
      <c r="AC397" s="11">
        <v>350</v>
      </c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>
        <v>130</v>
      </c>
      <c r="AO397" s="11">
        <v>220</v>
      </c>
      <c r="AP397" s="11"/>
      <c r="AQ397" s="11"/>
      <c r="AR397" s="11"/>
      <c r="AS397" s="11"/>
      <c r="AT397" s="11"/>
      <c r="AU397" s="20" t="str">
        <f>HYPERLINK("http://www.openstreetmap.org/?mlat=34.2678&amp;mlon=45.1742&amp;zoom=12#map=12/34.2678/45.1742","Maplink1")</f>
        <v>Maplink1</v>
      </c>
      <c r="AV397" s="20" t="str">
        <f>HYPERLINK("https://www.google.iq/maps/search/+34.2678,45.1742/@34.2678,45.1742,14z?hl=en","Maplink2")</f>
        <v>Maplink2</v>
      </c>
      <c r="AW397" s="20" t="str">
        <f>HYPERLINK("http://www.bing.com/maps/?lvl=14&amp;sty=h&amp;cp=34.2678~45.1742&amp;sp=point.34.2678_45.1742","Maplink3")</f>
        <v>Maplink3</v>
      </c>
    </row>
    <row r="398" spans="1:49" x14ac:dyDescent="0.25">
      <c r="A398" s="9">
        <v>31757</v>
      </c>
      <c r="B398" s="10" t="s">
        <v>13</v>
      </c>
      <c r="C398" s="10" t="s">
        <v>748</v>
      </c>
      <c r="D398" s="10" t="s">
        <v>769</v>
      </c>
      <c r="E398" s="10" t="s">
        <v>770</v>
      </c>
      <c r="F398" s="10">
        <v>34.268332999999998</v>
      </c>
      <c r="G398" s="10">
        <v>45.168332999999997</v>
      </c>
      <c r="H398" s="11">
        <v>359</v>
      </c>
      <c r="I398" s="11">
        <v>2154</v>
      </c>
      <c r="J398" s="11"/>
      <c r="K398" s="11"/>
      <c r="L398" s="11">
        <v>10</v>
      </c>
      <c r="M398" s="11"/>
      <c r="N398" s="11"/>
      <c r="O398" s="11">
        <v>290</v>
      </c>
      <c r="P398" s="11"/>
      <c r="Q398" s="11"/>
      <c r="R398" s="11"/>
      <c r="S398" s="11"/>
      <c r="T398" s="11"/>
      <c r="U398" s="11"/>
      <c r="V398" s="11"/>
      <c r="W398" s="11"/>
      <c r="X398" s="11"/>
      <c r="Y398" s="11">
        <v>59</v>
      </c>
      <c r="Z398" s="11"/>
      <c r="AA398" s="11"/>
      <c r="AB398" s="11"/>
      <c r="AC398" s="11">
        <v>359</v>
      </c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>
        <v>149</v>
      </c>
      <c r="AO398" s="11">
        <v>210</v>
      </c>
      <c r="AP398" s="11"/>
      <c r="AQ398" s="11"/>
      <c r="AR398" s="11"/>
      <c r="AS398" s="11"/>
      <c r="AT398" s="11"/>
      <c r="AU398" s="20" t="str">
        <f>HYPERLINK("http://www.openstreetmap.org/?mlat=34.2683&amp;mlon=45.1683&amp;zoom=12#map=12/34.2683/45.1683","Maplink1")</f>
        <v>Maplink1</v>
      </c>
      <c r="AV398" s="20" t="str">
        <f>HYPERLINK("https://www.google.iq/maps/search/+34.2683,45.1683/@34.2683,45.1683,14z?hl=en","Maplink2")</f>
        <v>Maplink2</v>
      </c>
      <c r="AW398" s="20" t="str">
        <f>HYPERLINK("http://www.bing.com/maps/?lvl=14&amp;sty=h&amp;cp=34.2683~45.1683&amp;sp=point.34.2683_45.1683","Maplink3")</f>
        <v>Maplink3</v>
      </c>
    </row>
    <row r="399" spans="1:49" x14ac:dyDescent="0.25">
      <c r="A399" s="9">
        <v>31768</v>
      </c>
      <c r="B399" s="10" t="s">
        <v>13</v>
      </c>
      <c r="C399" s="10" t="s">
        <v>748</v>
      </c>
      <c r="D399" s="10" t="s">
        <v>771</v>
      </c>
      <c r="E399" s="10" t="s">
        <v>772</v>
      </c>
      <c r="F399" s="10">
        <v>34.228810000000003</v>
      </c>
      <c r="G399" s="10">
        <v>45.231216000000003</v>
      </c>
      <c r="H399" s="11">
        <v>31</v>
      </c>
      <c r="I399" s="11">
        <v>186</v>
      </c>
      <c r="J399" s="11"/>
      <c r="K399" s="11"/>
      <c r="L399" s="11"/>
      <c r="M399" s="11"/>
      <c r="N399" s="11"/>
      <c r="O399" s="11">
        <v>31</v>
      </c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>
        <v>31</v>
      </c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>
        <v>31</v>
      </c>
      <c r="AP399" s="11"/>
      <c r="AQ399" s="11"/>
      <c r="AR399" s="11"/>
      <c r="AS399" s="11"/>
      <c r="AT399" s="11"/>
      <c r="AU399" s="20" t="str">
        <f>HYPERLINK("http://www.openstreetmap.org/?mlat=34.2288&amp;mlon=45.2312&amp;zoom=12#map=12/34.2288/45.2312","Maplink1")</f>
        <v>Maplink1</v>
      </c>
      <c r="AV399" s="20" t="str">
        <f>HYPERLINK("https://www.google.iq/maps/search/+34.2288,45.2312/@34.2288,45.2312,14z?hl=en","Maplink2")</f>
        <v>Maplink2</v>
      </c>
      <c r="AW399" s="20" t="str">
        <f>HYPERLINK("http://www.bing.com/maps/?lvl=14&amp;sty=h&amp;cp=34.2288~45.2312&amp;sp=point.34.2288_45.2312","Maplink3")</f>
        <v>Maplink3</v>
      </c>
    </row>
    <row r="400" spans="1:49" x14ac:dyDescent="0.25">
      <c r="A400" s="9">
        <v>29477</v>
      </c>
      <c r="B400" s="10" t="s">
        <v>13</v>
      </c>
      <c r="C400" s="10" t="s">
        <v>748</v>
      </c>
      <c r="D400" s="10" t="s">
        <v>773</v>
      </c>
      <c r="E400" s="10" t="s">
        <v>693</v>
      </c>
      <c r="F400" s="10">
        <v>34.271358909999996</v>
      </c>
      <c r="G400" s="10">
        <v>45.164609429999999</v>
      </c>
      <c r="H400" s="11">
        <v>345</v>
      </c>
      <c r="I400" s="11">
        <v>2070</v>
      </c>
      <c r="J400" s="11"/>
      <c r="K400" s="11"/>
      <c r="L400" s="11"/>
      <c r="M400" s="11"/>
      <c r="N400" s="11"/>
      <c r="O400" s="11">
        <v>235</v>
      </c>
      <c r="P400" s="11">
        <v>5</v>
      </c>
      <c r="Q400" s="11"/>
      <c r="R400" s="11">
        <v>15</v>
      </c>
      <c r="S400" s="11"/>
      <c r="T400" s="11"/>
      <c r="U400" s="11"/>
      <c r="V400" s="11"/>
      <c r="W400" s="11"/>
      <c r="X400" s="11"/>
      <c r="Y400" s="11">
        <v>90</v>
      </c>
      <c r="Z400" s="11"/>
      <c r="AA400" s="11"/>
      <c r="AB400" s="11"/>
      <c r="AC400" s="11">
        <v>345</v>
      </c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>
        <v>120</v>
      </c>
      <c r="AO400" s="11">
        <v>200</v>
      </c>
      <c r="AP400" s="11"/>
      <c r="AQ400" s="11"/>
      <c r="AR400" s="11"/>
      <c r="AS400" s="11"/>
      <c r="AT400" s="11">
        <v>25</v>
      </c>
      <c r="AU400" s="20" t="str">
        <f>HYPERLINK("http://www.openstreetmap.org/?mlat=34.2714&amp;mlon=45.1646&amp;zoom=12#map=12/34.2714/45.1646","Maplink1")</f>
        <v>Maplink1</v>
      </c>
      <c r="AV400" s="20" t="str">
        <f>HYPERLINK("https://www.google.iq/maps/search/+34.2714,45.1646/@34.2714,45.1646,14z?hl=en","Maplink2")</f>
        <v>Maplink2</v>
      </c>
      <c r="AW400" s="20" t="str">
        <f>HYPERLINK("http://www.bing.com/maps/?lvl=14&amp;sty=h&amp;cp=34.2714~45.1646&amp;sp=point.34.2714_45.1646","Maplink3")</f>
        <v>Maplink3</v>
      </c>
    </row>
    <row r="401" spans="1:49" x14ac:dyDescent="0.25">
      <c r="A401" s="9">
        <v>31748</v>
      </c>
      <c r="B401" s="10" t="s">
        <v>13</v>
      </c>
      <c r="C401" s="10" t="s">
        <v>748</v>
      </c>
      <c r="D401" s="10" t="s">
        <v>774</v>
      </c>
      <c r="E401" s="10" t="s">
        <v>775</v>
      </c>
      <c r="F401" s="10">
        <v>34.277500000000003</v>
      </c>
      <c r="G401" s="10">
        <v>45.166111000000001</v>
      </c>
      <c r="H401" s="11">
        <v>450</v>
      </c>
      <c r="I401" s="11">
        <v>2700</v>
      </c>
      <c r="J401" s="11"/>
      <c r="K401" s="11"/>
      <c r="L401" s="11">
        <v>20</v>
      </c>
      <c r="M401" s="11"/>
      <c r="N401" s="11"/>
      <c r="O401" s="11">
        <v>310</v>
      </c>
      <c r="P401" s="11"/>
      <c r="Q401" s="11"/>
      <c r="R401" s="11">
        <v>15</v>
      </c>
      <c r="S401" s="11"/>
      <c r="T401" s="11"/>
      <c r="U401" s="11"/>
      <c r="V401" s="11"/>
      <c r="W401" s="11"/>
      <c r="X401" s="11"/>
      <c r="Y401" s="11">
        <v>105</v>
      </c>
      <c r="Z401" s="11"/>
      <c r="AA401" s="11"/>
      <c r="AB401" s="11"/>
      <c r="AC401" s="11">
        <v>450</v>
      </c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>
        <v>200</v>
      </c>
      <c r="AO401" s="11">
        <v>250</v>
      </c>
      <c r="AP401" s="11"/>
      <c r="AQ401" s="11"/>
      <c r="AR401" s="11"/>
      <c r="AS401" s="11"/>
      <c r="AT401" s="11"/>
      <c r="AU401" s="20" t="str">
        <f>HYPERLINK("http://www.openstreetmap.org/?mlat=34.2775&amp;mlon=45.1661&amp;zoom=12#map=12/34.2775/45.1661","Maplink1")</f>
        <v>Maplink1</v>
      </c>
      <c r="AV401" s="20" t="str">
        <f>HYPERLINK("https://www.google.iq/maps/search/+34.2775,45.1661/@34.2775,45.1661,14z?hl=en","Maplink2")</f>
        <v>Maplink2</v>
      </c>
      <c r="AW401" s="20" t="str">
        <f>HYPERLINK("http://www.bing.com/maps/?lvl=14&amp;sty=h&amp;cp=34.2775~45.1661&amp;sp=point.34.2775_45.1661","Maplink3")</f>
        <v>Maplink3</v>
      </c>
    </row>
    <row r="402" spans="1:49" x14ac:dyDescent="0.25">
      <c r="A402" s="9">
        <v>31749</v>
      </c>
      <c r="B402" s="10" t="s">
        <v>13</v>
      </c>
      <c r="C402" s="10" t="s">
        <v>748</v>
      </c>
      <c r="D402" s="10" t="s">
        <v>776</v>
      </c>
      <c r="E402" s="10" t="s">
        <v>777</v>
      </c>
      <c r="F402" s="10">
        <v>34.277222000000002</v>
      </c>
      <c r="G402" s="10">
        <v>45.168332999999997</v>
      </c>
      <c r="H402" s="11">
        <v>300</v>
      </c>
      <c r="I402" s="11">
        <v>1800</v>
      </c>
      <c r="J402" s="11"/>
      <c r="K402" s="11"/>
      <c r="L402" s="11">
        <v>5</v>
      </c>
      <c r="M402" s="11"/>
      <c r="N402" s="11"/>
      <c r="O402" s="11">
        <v>235</v>
      </c>
      <c r="P402" s="11"/>
      <c r="Q402" s="11"/>
      <c r="R402" s="11">
        <v>10</v>
      </c>
      <c r="S402" s="11"/>
      <c r="T402" s="11"/>
      <c r="U402" s="11"/>
      <c r="V402" s="11"/>
      <c r="W402" s="11"/>
      <c r="X402" s="11"/>
      <c r="Y402" s="11">
        <v>50</v>
      </c>
      <c r="Z402" s="11"/>
      <c r="AA402" s="11"/>
      <c r="AB402" s="11"/>
      <c r="AC402" s="11">
        <v>300</v>
      </c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>
        <v>125</v>
      </c>
      <c r="AO402" s="11">
        <v>175</v>
      </c>
      <c r="AP402" s="11"/>
      <c r="AQ402" s="11"/>
      <c r="AR402" s="11"/>
      <c r="AS402" s="11"/>
      <c r="AT402" s="11"/>
      <c r="AU402" s="20" t="str">
        <f>HYPERLINK("http://www.openstreetmap.org/?mlat=34.2772&amp;mlon=45.1683&amp;zoom=12#map=12/34.2772/45.1683","Maplink1")</f>
        <v>Maplink1</v>
      </c>
      <c r="AV402" s="20" t="str">
        <f>HYPERLINK("https://www.google.iq/maps/search/+34.2772,45.1683/@34.2772,45.1683,14z?hl=en","Maplink2")</f>
        <v>Maplink2</v>
      </c>
      <c r="AW402" s="20" t="str">
        <f>HYPERLINK("http://www.bing.com/maps/?lvl=14&amp;sty=h&amp;cp=34.2772~45.1683&amp;sp=point.34.2772_45.1683","Maplink3")</f>
        <v>Maplink3</v>
      </c>
    </row>
    <row r="403" spans="1:49" x14ac:dyDescent="0.25">
      <c r="A403" s="9">
        <v>25983</v>
      </c>
      <c r="B403" s="10" t="s">
        <v>13</v>
      </c>
      <c r="C403" s="10" t="s">
        <v>748</v>
      </c>
      <c r="D403" s="10" t="s">
        <v>778</v>
      </c>
      <c r="E403" s="10" t="s">
        <v>779</v>
      </c>
      <c r="F403" s="10">
        <v>34.1925345728</v>
      </c>
      <c r="G403" s="10">
        <v>45.124869149200002</v>
      </c>
      <c r="H403" s="11">
        <v>208</v>
      </c>
      <c r="I403" s="11">
        <v>1248</v>
      </c>
      <c r="J403" s="11"/>
      <c r="K403" s="11"/>
      <c r="L403" s="11"/>
      <c r="M403" s="11"/>
      <c r="N403" s="11"/>
      <c r="O403" s="11">
        <v>200</v>
      </c>
      <c r="P403" s="11"/>
      <c r="Q403" s="11"/>
      <c r="R403" s="11">
        <v>8</v>
      </c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>
        <v>208</v>
      </c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>
        <v>208</v>
      </c>
      <c r="AO403" s="11"/>
      <c r="AP403" s="11"/>
      <c r="AQ403" s="11"/>
      <c r="AR403" s="11"/>
      <c r="AS403" s="11"/>
      <c r="AT403" s="11"/>
      <c r="AU403" s="20" t="str">
        <f>HYPERLINK("http://www.openstreetmap.org/?mlat=34.1925&amp;mlon=45.1249&amp;zoom=12#map=12/34.1925/45.1249","Maplink1")</f>
        <v>Maplink1</v>
      </c>
      <c r="AV403" s="20" t="str">
        <f>HYPERLINK("https://www.google.iq/maps/search/+34.1925,45.1249/@34.1925,45.1249,14z?hl=en","Maplink2")</f>
        <v>Maplink2</v>
      </c>
      <c r="AW403" s="20" t="str">
        <f>HYPERLINK("http://www.bing.com/maps/?lvl=14&amp;sty=h&amp;cp=34.1925~45.1249&amp;sp=point.34.1925_45.1249","Maplink3")</f>
        <v>Maplink3</v>
      </c>
    </row>
    <row r="404" spans="1:49" x14ac:dyDescent="0.25">
      <c r="A404" s="9">
        <v>29507</v>
      </c>
      <c r="B404" s="10" t="s">
        <v>13</v>
      </c>
      <c r="C404" s="10" t="s">
        <v>748</v>
      </c>
      <c r="D404" s="10" t="s">
        <v>780</v>
      </c>
      <c r="E404" s="10" t="s">
        <v>781</v>
      </c>
      <c r="F404" s="10">
        <v>34.199649999999998</v>
      </c>
      <c r="G404" s="10">
        <v>45.126589000000003</v>
      </c>
      <c r="H404" s="11">
        <v>300</v>
      </c>
      <c r="I404" s="11">
        <v>1800</v>
      </c>
      <c r="J404" s="11"/>
      <c r="K404" s="11"/>
      <c r="L404" s="11"/>
      <c r="M404" s="11"/>
      <c r="N404" s="11"/>
      <c r="O404" s="11">
        <v>255</v>
      </c>
      <c r="P404" s="11"/>
      <c r="Q404" s="11"/>
      <c r="R404" s="11">
        <v>10</v>
      </c>
      <c r="S404" s="11"/>
      <c r="T404" s="11"/>
      <c r="U404" s="11"/>
      <c r="V404" s="11"/>
      <c r="W404" s="11"/>
      <c r="X404" s="11"/>
      <c r="Y404" s="11">
        <v>35</v>
      </c>
      <c r="Z404" s="11"/>
      <c r="AA404" s="11"/>
      <c r="AB404" s="11"/>
      <c r="AC404" s="11">
        <v>300</v>
      </c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>
        <v>300</v>
      </c>
      <c r="AO404" s="11"/>
      <c r="AP404" s="11"/>
      <c r="AQ404" s="11"/>
      <c r="AR404" s="11"/>
      <c r="AS404" s="11"/>
      <c r="AT404" s="11"/>
      <c r="AU404" s="20" t="str">
        <f>HYPERLINK("http://www.openstreetmap.org/?mlat=34.1996&amp;mlon=45.1266&amp;zoom=12#map=12/34.1996/45.1266","Maplink1")</f>
        <v>Maplink1</v>
      </c>
      <c r="AV404" s="20" t="str">
        <f>HYPERLINK("https://www.google.iq/maps/search/+34.1996,45.1266/@34.1996,45.1266,14z?hl=en","Maplink2")</f>
        <v>Maplink2</v>
      </c>
      <c r="AW404" s="20" t="str">
        <f>HYPERLINK("http://www.bing.com/maps/?lvl=14&amp;sty=h&amp;cp=34.1996~45.1266&amp;sp=point.34.1996_45.1266","Maplink3")</f>
        <v>Maplink3</v>
      </c>
    </row>
    <row r="405" spans="1:49" x14ac:dyDescent="0.25">
      <c r="A405" s="9">
        <v>29506</v>
      </c>
      <c r="B405" s="10" t="s">
        <v>13</v>
      </c>
      <c r="C405" s="10" t="s">
        <v>748</v>
      </c>
      <c r="D405" s="10" t="s">
        <v>782</v>
      </c>
      <c r="E405" s="10" t="s">
        <v>783</v>
      </c>
      <c r="F405" s="10">
        <v>34.197619000000003</v>
      </c>
      <c r="G405" s="10">
        <v>45.126843999999998</v>
      </c>
      <c r="H405" s="11">
        <v>250</v>
      </c>
      <c r="I405" s="11">
        <v>1500</v>
      </c>
      <c r="J405" s="11"/>
      <c r="K405" s="11"/>
      <c r="L405" s="11"/>
      <c r="M405" s="11"/>
      <c r="N405" s="11"/>
      <c r="O405" s="11">
        <v>235</v>
      </c>
      <c r="P405" s="11"/>
      <c r="Q405" s="11"/>
      <c r="R405" s="11">
        <v>10</v>
      </c>
      <c r="S405" s="11"/>
      <c r="T405" s="11"/>
      <c r="U405" s="11"/>
      <c r="V405" s="11"/>
      <c r="W405" s="11"/>
      <c r="X405" s="11"/>
      <c r="Y405" s="11">
        <v>5</v>
      </c>
      <c r="Z405" s="11"/>
      <c r="AA405" s="11"/>
      <c r="AB405" s="11"/>
      <c r="AC405" s="11">
        <v>250</v>
      </c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>
        <v>250</v>
      </c>
      <c r="AO405" s="11"/>
      <c r="AP405" s="11"/>
      <c r="AQ405" s="11"/>
      <c r="AR405" s="11"/>
      <c r="AS405" s="11"/>
      <c r="AT405" s="11"/>
      <c r="AU405" s="20" t="str">
        <f>HYPERLINK("http://www.openstreetmap.org/?mlat=34.1976&amp;mlon=45.1268&amp;zoom=12#map=12/34.1976/45.1268","Maplink1")</f>
        <v>Maplink1</v>
      </c>
      <c r="AV405" s="20" t="str">
        <f>HYPERLINK("https://www.google.iq/maps/search/+34.1976,45.1268/@34.1976,45.1268,14z?hl=en","Maplink2")</f>
        <v>Maplink2</v>
      </c>
      <c r="AW405" s="20" t="str">
        <f>HYPERLINK("http://www.bing.com/maps/?lvl=14&amp;sty=h&amp;cp=34.1976~45.1268&amp;sp=point.34.1976_45.1268","Maplink3")</f>
        <v>Maplink3</v>
      </c>
    </row>
    <row r="406" spans="1:49" x14ac:dyDescent="0.25">
      <c r="A406" s="9">
        <v>29521</v>
      </c>
      <c r="B406" s="10" t="s">
        <v>13</v>
      </c>
      <c r="C406" s="10" t="s">
        <v>748</v>
      </c>
      <c r="D406" s="10" t="s">
        <v>784</v>
      </c>
      <c r="E406" s="10" t="s">
        <v>785</v>
      </c>
      <c r="F406" s="10">
        <v>34.177523829999998</v>
      </c>
      <c r="G406" s="10">
        <v>45.121278340000003</v>
      </c>
      <c r="H406" s="11">
        <v>205</v>
      </c>
      <c r="I406" s="11">
        <v>1230</v>
      </c>
      <c r="J406" s="11"/>
      <c r="K406" s="11"/>
      <c r="L406" s="11"/>
      <c r="M406" s="11"/>
      <c r="N406" s="11"/>
      <c r="O406" s="11">
        <v>165</v>
      </c>
      <c r="P406" s="11">
        <v>15</v>
      </c>
      <c r="Q406" s="11"/>
      <c r="R406" s="11">
        <v>20</v>
      </c>
      <c r="S406" s="11"/>
      <c r="T406" s="11"/>
      <c r="U406" s="11"/>
      <c r="V406" s="11"/>
      <c r="W406" s="11"/>
      <c r="X406" s="11"/>
      <c r="Y406" s="11">
        <v>5</v>
      </c>
      <c r="Z406" s="11"/>
      <c r="AA406" s="11"/>
      <c r="AB406" s="11"/>
      <c r="AC406" s="11">
        <v>205</v>
      </c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>
        <v>205</v>
      </c>
      <c r="AO406" s="11"/>
      <c r="AP406" s="11"/>
      <c r="AQ406" s="11"/>
      <c r="AR406" s="11"/>
      <c r="AS406" s="11"/>
      <c r="AT406" s="11"/>
      <c r="AU406" s="20" t="str">
        <f>HYPERLINK("http://www.openstreetmap.org/?mlat=34.1775&amp;mlon=45.1213&amp;zoom=12#map=12/34.1775/45.1213","Maplink1")</f>
        <v>Maplink1</v>
      </c>
      <c r="AV406" s="20" t="str">
        <f>HYPERLINK("https://www.google.iq/maps/search/+34.1775,45.1213/@34.1775,45.1213,14z?hl=en","Maplink2")</f>
        <v>Maplink2</v>
      </c>
      <c r="AW406" s="20" t="str">
        <f>HYPERLINK("http://www.bing.com/maps/?lvl=14&amp;sty=h&amp;cp=34.1775~45.1213&amp;sp=point.34.1775_45.1213","Maplink3")</f>
        <v>Maplink3</v>
      </c>
    </row>
    <row r="407" spans="1:49" x14ac:dyDescent="0.25">
      <c r="A407" s="9">
        <v>27391</v>
      </c>
      <c r="B407" s="10" t="s">
        <v>13</v>
      </c>
      <c r="C407" s="10" t="s">
        <v>748</v>
      </c>
      <c r="D407" s="10" t="s">
        <v>786</v>
      </c>
      <c r="E407" s="10" t="s">
        <v>787</v>
      </c>
      <c r="F407" s="10">
        <v>34.182388590000002</v>
      </c>
      <c r="G407" s="10">
        <v>45.118946000000001</v>
      </c>
      <c r="H407" s="11">
        <v>383</v>
      </c>
      <c r="I407" s="11">
        <v>2298</v>
      </c>
      <c r="J407" s="11"/>
      <c r="K407" s="11"/>
      <c r="L407" s="11"/>
      <c r="M407" s="11"/>
      <c r="N407" s="11"/>
      <c r="O407" s="11">
        <v>316</v>
      </c>
      <c r="P407" s="11"/>
      <c r="Q407" s="11"/>
      <c r="R407" s="11">
        <v>7</v>
      </c>
      <c r="S407" s="11"/>
      <c r="T407" s="11"/>
      <c r="U407" s="11"/>
      <c r="V407" s="11"/>
      <c r="W407" s="11"/>
      <c r="X407" s="11"/>
      <c r="Y407" s="11">
        <v>60</v>
      </c>
      <c r="Z407" s="11"/>
      <c r="AA407" s="11"/>
      <c r="AB407" s="11"/>
      <c r="AC407" s="11">
        <v>377</v>
      </c>
      <c r="AD407" s="11"/>
      <c r="AE407" s="11"/>
      <c r="AF407" s="11"/>
      <c r="AG407" s="11"/>
      <c r="AH407" s="11"/>
      <c r="AI407" s="11">
        <v>6</v>
      </c>
      <c r="AJ407" s="11"/>
      <c r="AK407" s="11"/>
      <c r="AL407" s="11"/>
      <c r="AM407" s="11"/>
      <c r="AN407" s="11">
        <v>383</v>
      </c>
      <c r="AO407" s="11"/>
      <c r="AP407" s="11"/>
      <c r="AQ407" s="11"/>
      <c r="AR407" s="11"/>
      <c r="AS407" s="11"/>
      <c r="AT407" s="11"/>
      <c r="AU407" s="20" t="str">
        <f>HYPERLINK("http://www.openstreetmap.org/?mlat=34.1824&amp;mlon=45.1189&amp;zoom=12#map=12/34.1824/45.1189","Maplink1")</f>
        <v>Maplink1</v>
      </c>
      <c r="AV407" s="20" t="str">
        <f>HYPERLINK("https://www.google.iq/maps/search/+34.1824,45.1189/@34.1824,45.1189,14z?hl=en","Maplink2")</f>
        <v>Maplink2</v>
      </c>
      <c r="AW407" s="20" t="str">
        <f>HYPERLINK("http://www.bing.com/maps/?lvl=14&amp;sty=h&amp;cp=34.1824~45.1189&amp;sp=point.34.1824_45.1189","Maplink3")</f>
        <v>Maplink3</v>
      </c>
    </row>
    <row r="408" spans="1:49" x14ac:dyDescent="0.25">
      <c r="A408" s="9">
        <v>29570</v>
      </c>
      <c r="B408" s="10" t="s">
        <v>13</v>
      </c>
      <c r="C408" s="10" t="s">
        <v>748</v>
      </c>
      <c r="D408" s="10" t="s">
        <v>788</v>
      </c>
      <c r="E408" s="10" t="s">
        <v>172</v>
      </c>
      <c r="F408" s="10">
        <v>34.279488600000001</v>
      </c>
      <c r="G408" s="10">
        <v>45.167935139999997</v>
      </c>
      <c r="H408" s="11">
        <v>430</v>
      </c>
      <c r="I408" s="11">
        <v>2580</v>
      </c>
      <c r="J408" s="11"/>
      <c r="K408" s="11"/>
      <c r="L408" s="11">
        <v>7</v>
      </c>
      <c r="M408" s="11"/>
      <c r="N408" s="11"/>
      <c r="O408" s="11">
        <v>340</v>
      </c>
      <c r="P408" s="11">
        <v>5</v>
      </c>
      <c r="Q408" s="11"/>
      <c r="R408" s="11">
        <v>13</v>
      </c>
      <c r="S408" s="11"/>
      <c r="T408" s="11"/>
      <c r="U408" s="11"/>
      <c r="V408" s="11"/>
      <c r="W408" s="11"/>
      <c r="X408" s="11"/>
      <c r="Y408" s="11">
        <v>65</v>
      </c>
      <c r="Z408" s="11"/>
      <c r="AA408" s="11"/>
      <c r="AB408" s="11"/>
      <c r="AC408" s="11">
        <v>430</v>
      </c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>
        <v>230</v>
      </c>
      <c r="AO408" s="11">
        <v>200</v>
      </c>
      <c r="AP408" s="11"/>
      <c r="AQ408" s="11"/>
      <c r="AR408" s="11"/>
      <c r="AS408" s="11"/>
      <c r="AT408" s="11"/>
      <c r="AU408" s="20" t="str">
        <f>HYPERLINK("http://www.openstreetmap.org/?mlat=34.2795&amp;mlon=45.1679&amp;zoom=12#map=12/34.2795/45.1679","Maplink1")</f>
        <v>Maplink1</v>
      </c>
      <c r="AV408" s="20" t="str">
        <f>HYPERLINK("https://www.google.iq/maps/search/+34.2795,45.1679/@34.2795,45.1679,14z?hl=en","Maplink2")</f>
        <v>Maplink2</v>
      </c>
      <c r="AW408" s="20" t="str">
        <f>HYPERLINK("http://www.bing.com/maps/?lvl=14&amp;sty=h&amp;cp=34.2795~45.1679&amp;sp=point.34.2795_45.1679","Maplink3")</f>
        <v>Maplink3</v>
      </c>
    </row>
    <row r="409" spans="1:49" x14ac:dyDescent="0.25">
      <c r="A409" s="9">
        <v>31758</v>
      </c>
      <c r="B409" s="10" t="s">
        <v>13</v>
      </c>
      <c r="C409" s="10" t="s">
        <v>748</v>
      </c>
      <c r="D409" s="10" t="s">
        <v>789</v>
      </c>
      <c r="E409" s="10" t="s">
        <v>790</v>
      </c>
      <c r="F409" s="10">
        <v>34.278610999999998</v>
      </c>
      <c r="G409" s="10">
        <v>45.176389</v>
      </c>
      <c r="H409" s="11">
        <v>350</v>
      </c>
      <c r="I409" s="11">
        <v>2100</v>
      </c>
      <c r="J409" s="11"/>
      <c r="K409" s="11"/>
      <c r="L409" s="11"/>
      <c r="M409" s="11"/>
      <c r="N409" s="11"/>
      <c r="O409" s="11">
        <v>298</v>
      </c>
      <c r="P409" s="11"/>
      <c r="Q409" s="11"/>
      <c r="R409" s="11"/>
      <c r="S409" s="11"/>
      <c r="T409" s="11"/>
      <c r="U409" s="11"/>
      <c r="V409" s="11"/>
      <c r="W409" s="11"/>
      <c r="X409" s="11"/>
      <c r="Y409" s="11">
        <v>52</v>
      </c>
      <c r="Z409" s="11"/>
      <c r="AA409" s="11"/>
      <c r="AB409" s="11"/>
      <c r="AC409" s="11">
        <v>350</v>
      </c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>
        <v>225</v>
      </c>
      <c r="AO409" s="11">
        <v>125</v>
      </c>
      <c r="AP409" s="11"/>
      <c r="AQ409" s="11"/>
      <c r="AR409" s="11"/>
      <c r="AS409" s="11"/>
      <c r="AT409" s="11"/>
      <c r="AU409" s="20" t="str">
        <f>HYPERLINK("http://www.openstreetmap.org/?mlat=34.2786&amp;mlon=45.1764&amp;zoom=12#map=12/34.2786/45.1764","Maplink1")</f>
        <v>Maplink1</v>
      </c>
      <c r="AV409" s="20" t="str">
        <f>HYPERLINK("https://www.google.iq/maps/search/+34.2786,45.1764/@34.2786,45.1764,14z?hl=en","Maplink2")</f>
        <v>Maplink2</v>
      </c>
      <c r="AW409" s="20" t="str">
        <f>HYPERLINK("http://www.bing.com/maps/?lvl=14&amp;sty=h&amp;cp=34.2786~45.1764&amp;sp=point.34.2786_45.1764","Maplink3")</f>
        <v>Maplink3</v>
      </c>
    </row>
    <row r="410" spans="1:49" x14ac:dyDescent="0.25">
      <c r="A410" s="9">
        <v>31759</v>
      </c>
      <c r="B410" s="10" t="s">
        <v>13</v>
      </c>
      <c r="C410" s="10" t="s">
        <v>748</v>
      </c>
      <c r="D410" s="10" t="s">
        <v>791</v>
      </c>
      <c r="E410" s="10" t="s">
        <v>792</v>
      </c>
      <c r="F410" s="10">
        <v>34.284166999999997</v>
      </c>
      <c r="G410" s="10">
        <v>45.171666999999999</v>
      </c>
      <c r="H410" s="11">
        <v>360</v>
      </c>
      <c r="I410" s="11">
        <v>2160</v>
      </c>
      <c r="J410" s="11"/>
      <c r="K410" s="11"/>
      <c r="L410" s="11">
        <v>9</v>
      </c>
      <c r="M410" s="11"/>
      <c r="N410" s="11"/>
      <c r="O410" s="11">
        <v>298</v>
      </c>
      <c r="P410" s="11"/>
      <c r="Q410" s="11"/>
      <c r="R410" s="11">
        <v>5</v>
      </c>
      <c r="S410" s="11"/>
      <c r="T410" s="11"/>
      <c r="U410" s="11"/>
      <c r="V410" s="11"/>
      <c r="W410" s="11"/>
      <c r="X410" s="11"/>
      <c r="Y410" s="11">
        <v>48</v>
      </c>
      <c r="Z410" s="11"/>
      <c r="AA410" s="11"/>
      <c r="AB410" s="11"/>
      <c r="AC410" s="11">
        <v>350</v>
      </c>
      <c r="AD410" s="11"/>
      <c r="AE410" s="11"/>
      <c r="AF410" s="11"/>
      <c r="AG410" s="11"/>
      <c r="AH410" s="11"/>
      <c r="AI410" s="11">
        <v>10</v>
      </c>
      <c r="AJ410" s="11"/>
      <c r="AK410" s="11"/>
      <c r="AL410" s="11"/>
      <c r="AM410" s="11"/>
      <c r="AN410" s="11">
        <v>160</v>
      </c>
      <c r="AO410" s="11">
        <v>200</v>
      </c>
      <c r="AP410" s="11"/>
      <c r="AQ410" s="11"/>
      <c r="AR410" s="11"/>
      <c r="AS410" s="11"/>
      <c r="AT410" s="11"/>
      <c r="AU410" s="20" t="str">
        <f>HYPERLINK("http://www.openstreetmap.org/?mlat=34.2842&amp;mlon=45.1717&amp;zoom=12#map=12/34.2842/45.1717","Maplink1")</f>
        <v>Maplink1</v>
      </c>
      <c r="AV410" s="20" t="str">
        <f>HYPERLINK("https://www.google.iq/maps/search/+34.2842,45.1717/@34.2842,45.1717,14z?hl=en","Maplink2")</f>
        <v>Maplink2</v>
      </c>
      <c r="AW410" s="20" t="str">
        <f>HYPERLINK("http://www.bing.com/maps/?lvl=14&amp;sty=h&amp;cp=34.2842~45.1717&amp;sp=point.34.2842_45.1717","Maplink3")</f>
        <v>Maplink3</v>
      </c>
    </row>
    <row r="411" spans="1:49" x14ac:dyDescent="0.25">
      <c r="A411" s="9">
        <v>31760</v>
      </c>
      <c r="B411" s="10" t="s">
        <v>13</v>
      </c>
      <c r="C411" s="10" t="s">
        <v>748</v>
      </c>
      <c r="D411" s="10" t="s">
        <v>793</v>
      </c>
      <c r="E411" s="10" t="s">
        <v>794</v>
      </c>
      <c r="F411" s="10">
        <v>34.276111</v>
      </c>
      <c r="G411" s="10">
        <v>45.177222</v>
      </c>
      <c r="H411" s="11">
        <v>600</v>
      </c>
      <c r="I411" s="11">
        <v>3600</v>
      </c>
      <c r="J411" s="11"/>
      <c r="K411" s="11"/>
      <c r="L411" s="11">
        <v>10</v>
      </c>
      <c r="M411" s="11"/>
      <c r="N411" s="11"/>
      <c r="O411" s="11">
        <v>485</v>
      </c>
      <c r="P411" s="11"/>
      <c r="Q411" s="11"/>
      <c r="R411" s="11">
        <v>15</v>
      </c>
      <c r="S411" s="11"/>
      <c r="T411" s="11"/>
      <c r="U411" s="11"/>
      <c r="V411" s="11"/>
      <c r="W411" s="11"/>
      <c r="X411" s="11"/>
      <c r="Y411" s="11">
        <v>90</v>
      </c>
      <c r="Z411" s="11"/>
      <c r="AA411" s="11"/>
      <c r="AB411" s="11"/>
      <c r="AC411" s="11">
        <v>600</v>
      </c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>
        <v>240</v>
      </c>
      <c r="AO411" s="11">
        <v>360</v>
      </c>
      <c r="AP411" s="11"/>
      <c r="AQ411" s="11"/>
      <c r="AR411" s="11"/>
      <c r="AS411" s="11"/>
      <c r="AT411" s="11"/>
      <c r="AU411" s="20" t="str">
        <f>HYPERLINK("http://www.openstreetmap.org/?mlat=34.2761&amp;mlon=45.1772&amp;zoom=12#map=12/34.2761/45.1772","Maplink1")</f>
        <v>Maplink1</v>
      </c>
      <c r="AV411" s="20" t="str">
        <f>HYPERLINK("https://www.google.iq/maps/search/+34.2761,45.1772/@34.2761,45.1772,14z?hl=en","Maplink2")</f>
        <v>Maplink2</v>
      </c>
      <c r="AW411" s="20" t="str">
        <f>HYPERLINK("http://www.bing.com/maps/?lvl=14&amp;sty=h&amp;cp=34.2761~45.1772&amp;sp=point.34.2761_45.1772","Maplink3")</f>
        <v>Maplink3</v>
      </c>
    </row>
    <row r="412" spans="1:49" x14ac:dyDescent="0.25">
      <c r="A412" s="9">
        <v>31761</v>
      </c>
      <c r="B412" s="10" t="s">
        <v>13</v>
      </c>
      <c r="C412" s="10" t="s">
        <v>748</v>
      </c>
      <c r="D412" s="10" t="s">
        <v>795</v>
      </c>
      <c r="E412" s="10" t="s">
        <v>796</v>
      </c>
      <c r="F412" s="10">
        <v>34.274999999999999</v>
      </c>
      <c r="G412" s="10">
        <v>45.171111000000003</v>
      </c>
      <c r="H412" s="11">
        <v>400</v>
      </c>
      <c r="I412" s="11">
        <v>2400</v>
      </c>
      <c r="J412" s="11"/>
      <c r="K412" s="11"/>
      <c r="L412" s="11"/>
      <c r="M412" s="11"/>
      <c r="N412" s="11"/>
      <c r="O412" s="11">
        <v>350</v>
      </c>
      <c r="P412" s="11"/>
      <c r="Q412" s="11"/>
      <c r="R412" s="11"/>
      <c r="S412" s="11"/>
      <c r="T412" s="11"/>
      <c r="U412" s="11"/>
      <c r="V412" s="11"/>
      <c r="W412" s="11"/>
      <c r="X412" s="11"/>
      <c r="Y412" s="11">
        <v>50</v>
      </c>
      <c r="Z412" s="11"/>
      <c r="AA412" s="11"/>
      <c r="AB412" s="11"/>
      <c r="AC412" s="11">
        <v>400</v>
      </c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>
        <v>175</v>
      </c>
      <c r="AO412" s="11">
        <v>225</v>
      </c>
      <c r="AP412" s="11"/>
      <c r="AQ412" s="11"/>
      <c r="AR412" s="11"/>
      <c r="AS412" s="11"/>
      <c r="AT412" s="11"/>
      <c r="AU412" s="20" t="str">
        <f>HYPERLINK("http://www.openstreetmap.org/?mlat=34.275&amp;mlon=45.1711&amp;zoom=12#map=12/34.275/45.1711","Maplink1")</f>
        <v>Maplink1</v>
      </c>
      <c r="AV412" s="20" t="str">
        <f>HYPERLINK("https://www.google.iq/maps/search/+34.275,45.1711/@34.275,45.1711,14z?hl=en","Maplink2")</f>
        <v>Maplink2</v>
      </c>
      <c r="AW412" s="20" t="str">
        <f>HYPERLINK("http://www.bing.com/maps/?lvl=14&amp;sty=h&amp;cp=34.275~45.1711&amp;sp=point.34.275_45.1711","Maplink3")</f>
        <v>Maplink3</v>
      </c>
    </row>
    <row r="413" spans="1:49" x14ac:dyDescent="0.25">
      <c r="A413" s="9">
        <v>31762</v>
      </c>
      <c r="B413" s="10" t="s">
        <v>13</v>
      </c>
      <c r="C413" s="10" t="s">
        <v>748</v>
      </c>
      <c r="D413" s="10" t="s">
        <v>797</v>
      </c>
      <c r="E413" s="10" t="s">
        <v>798</v>
      </c>
      <c r="F413" s="10">
        <v>34.276111</v>
      </c>
      <c r="G413" s="10">
        <v>45.179443999999997</v>
      </c>
      <c r="H413" s="11">
        <v>333</v>
      </c>
      <c r="I413" s="11">
        <v>1998</v>
      </c>
      <c r="J413" s="11"/>
      <c r="K413" s="11"/>
      <c r="L413" s="11"/>
      <c r="M413" s="11"/>
      <c r="N413" s="11"/>
      <c r="O413" s="11">
        <v>263</v>
      </c>
      <c r="P413" s="11"/>
      <c r="Q413" s="11"/>
      <c r="R413" s="11"/>
      <c r="S413" s="11"/>
      <c r="T413" s="11"/>
      <c r="U413" s="11"/>
      <c r="V413" s="11"/>
      <c r="W413" s="11"/>
      <c r="X413" s="11"/>
      <c r="Y413" s="11">
        <v>70</v>
      </c>
      <c r="Z413" s="11"/>
      <c r="AA413" s="11"/>
      <c r="AB413" s="11"/>
      <c r="AC413" s="11">
        <v>333</v>
      </c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>
        <v>120</v>
      </c>
      <c r="AO413" s="11">
        <v>213</v>
      </c>
      <c r="AP413" s="11"/>
      <c r="AQ413" s="11"/>
      <c r="AR413" s="11"/>
      <c r="AS413" s="11"/>
      <c r="AT413" s="11"/>
      <c r="AU413" s="20" t="str">
        <f>HYPERLINK("http://www.openstreetmap.org/?mlat=34.2761&amp;mlon=45.1794&amp;zoom=12#map=12/34.2761/45.1794","Maplink1")</f>
        <v>Maplink1</v>
      </c>
      <c r="AV413" s="20" t="str">
        <f>HYPERLINK("https://www.google.iq/maps/search/+34.2761,45.1794/@34.2761,45.1794,14z?hl=en","Maplink2")</f>
        <v>Maplink2</v>
      </c>
      <c r="AW413" s="20" t="str">
        <f>HYPERLINK("http://www.bing.com/maps/?lvl=14&amp;sty=h&amp;cp=34.2761~45.1794&amp;sp=point.34.2761_45.1794","Maplink3")</f>
        <v>Maplink3</v>
      </c>
    </row>
    <row r="414" spans="1:49" x14ac:dyDescent="0.25">
      <c r="A414" s="9">
        <v>29519</v>
      </c>
      <c r="B414" s="10" t="s">
        <v>13</v>
      </c>
      <c r="C414" s="10" t="s">
        <v>748</v>
      </c>
      <c r="D414" s="10" t="s">
        <v>799</v>
      </c>
      <c r="E414" s="10" t="s">
        <v>800</v>
      </c>
      <c r="F414" s="10">
        <v>34.198936400000001</v>
      </c>
      <c r="G414" s="10">
        <v>45.130894380000001</v>
      </c>
      <c r="H414" s="11">
        <v>100</v>
      </c>
      <c r="I414" s="11">
        <v>600</v>
      </c>
      <c r="J414" s="11"/>
      <c r="K414" s="11"/>
      <c r="L414" s="11"/>
      <c r="M414" s="11"/>
      <c r="N414" s="11"/>
      <c r="O414" s="11">
        <v>100</v>
      </c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>
        <v>100</v>
      </c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>
        <v>100</v>
      </c>
      <c r="AO414" s="11"/>
      <c r="AP414" s="11"/>
      <c r="AQ414" s="11"/>
      <c r="AR414" s="11"/>
      <c r="AS414" s="11"/>
      <c r="AT414" s="11"/>
      <c r="AU414" s="20" t="str">
        <f>HYPERLINK("http://www.openstreetmap.org/?mlat=34.1989&amp;mlon=45.1309&amp;zoom=12#map=12/34.1989/45.1309","Maplink1")</f>
        <v>Maplink1</v>
      </c>
      <c r="AV414" s="20" t="str">
        <f>HYPERLINK("https://www.google.iq/maps/search/+34.1989,45.1309/@34.1989,45.1309,14z?hl=en","Maplink2")</f>
        <v>Maplink2</v>
      </c>
      <c r="AW414" s="20" t="str">
        <f>HYPERLINK("http://www.bing.com/maps/?lvl=14&amp;sty=h&amp;cp=34.1989~45.1309&amp;sp=point.34.1989_45.1309","Maplink3")</f>
        <v>Maplink3</v>
      </c>
    </row>
    <row r="415" spans="1:49" x14ac:dyDescent="0.25">
      <c r="A415" s="9">
        <v>29564</v>
      </c>
      <c r="B415" s="10" t="s">
        <v>13</v>
      </c>
      <c r="C415" s="10" t="s">
        <v>748</v>
      </c>
      <c r="D415" s="10" t="s">
        <v>801</v>
      </c>
      <c r="E415" s="10" t="s">
        <v>802</v>
      </c>
      <c r="F415" s="10">
        <v>34.27881447</v>
      </c>
      <c r="G415" s="10">
        <v>45.162148629999997</v>
      </c>
      <c r="H415" s="11">
        <v>331</v>
      </c>
      <c r="I415" s="11">
        <v>1986</v>
      </c>
      <c r="J415" s="11"/>
      <c r="K415" s="11"/>
      <c r="L415" s="11"/>
      <c r="M415" s="11"/>
      <c r="N415" s="11"/>
      <c r="O415" s="11">
        <v>300</v>
      </c>
      <c r="P415" s="11"/>
      <c r="Q415" s="11"/>
      <c r="R415" s="11">
        <v>25</v>
      </c>
      <c r="S415" s="11"/>
      <c r="T415" s="11"/>
      <c r="U415" s="11"/>
      <c r="V415" s="11"/>
      <c r="W415" s="11"/>
      <c r="X415" s="11"/>
      <c r="Y415" s="11">
        <v>6</v>
      </c>
      <c r="Z415" s="11"/>
      <c r="AA415" s="11"/>
      <c r="AB415" s="11"/>
      <c r="AC415" s="11">
        <v>331</v>
      </c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>
        <v>331</v>
      </c>
      <c r="AO415" s="11"/>
      <c r="AP415" s="11"/>
      <c r="AQ415" s="11"/>
      <c r="AR415" s="11"/>
      <c r="AS415" s="11"/>
      <c r="AT415" s="11"/>
      <c r="AU415" s="20" t="str">
        <f>HYPERLINK("http://www.openstreetmap.org/?mlat=34.2788&amp;mlon=45.1621&amp;zoom=12#map=12/34.2788/45.1621","Maplink1")</f>
        <v>Maplink1</v>
      </c>
      <c r="AV415" s="20" t="str">
        <f>HYPERLINK("https://www.google.iq/maps/search/+34.2788,45.1621/@34.2788,45.1621,14z?hl=en","Maplink2")</f>
        <v>Maplink2</v>
      </c>
      <c r="AW415" s="20" t="str">
        <f>HYPERLINK("http://www.bing.com/maps/?lvl=14&amp;sty=h&amp;cp=34.2788~45.1621&amp;sp=point.34.2788_45.1621","Maplink3")</f>
        <v>Maplink3</v>
      </c>
    </row>
    <row r="416" spans="1:49" x14ac:dyDescent="0.25">
      <c r="A416" s="9">
        <v>31750</v>
      </c>
      <c r="B416" s="10" t="s">
        <v>13</v>
      </c>
      <c r="C416" s="10" t="s">
        <v>748</v>
      </c>
      <c r="D416" s="10" t="s">
        <v>1843</v>
      </c>
      <c r="E416" s="10" t="s">
        <v>803</v>
      </c>
      <c r="F416" s="10">
        <v>34.270833000000003</v>
      </c>
      <c r="G416" s="10">
        <v>45.161110999999998</v>
      </c>
      <c r="H416" s="11">
        <v>415</v>
      </c>
      <c r="I416" s="11">
        <v>2490</v>
      </c>
      <c r="J416" s="11"/>
      <c r="K416" s="11"/>
      <c r="L416" s="11">
        <v>5</v>
      </c>
      <c r="M416" s="11"/>
      <c r="N416" s="11"/>
      <c r="O416" s="11">
        <v>310</v>
      </c>
      <c r="P416" s="11"/>
      <c r="Q416" s="11"/>
      <c r="R416" s="11">
        <v>10</v>
      </c>
      <c r="S416" s="11"/>
      <c r="T416" s="11"/>
      <c r="U416" s="11"/>
      <c r="V416" s="11"/>
      <c r="W416" s="11"/>
      <c r="X416" s="11"/>
      <c r="Y416" s="11">
        <v>90</v>
      </c>
      <c r="Z416" s="11"/>
      <c r="AA416" s="11"/>
      <c r="AB416" s="11"/>
      <c r="AC416" s="11">
        <v>415</v>
      </c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>
        <v>215</v>
      </c>
      <c r="AO416" s="11">
        <v>200</v>
      </c>
      <c r="AP416" s="11"/>
      <c r="AQ416" s="11"/>
      <c r="AR416" s="11"/>
      <c r="AS416" s="11"/>
      <c r="AT416" s="11"/>
      <c r="AU416" s="20" t="str">
        <f>HYPERLINK("http://www.openstreetmap.org/?mlat=34.2708&amp;mlon=45.1611&amp;zoom=12#map=12/34.2708/45.1611","Maplink1")</f>
        <v>Maplink1</v>
      </c>
      <c r="AV416" s="20" t="str">
        <f>HYPERLINK("https://www.google.iq/maps/search/+34.2708,45.1611/@34.2708,45.1611,14z?hl=en","Maplink2")</f>
        <v>Maplink2</v>
      </c>
      <c r="AW416" s="20" t="str">
        <f>HYPERLINK("http://www.bing.com/maps/?lvl=14&amp;sty=h&amp;cp=34.2708~45.1611&amp;sp=point.34.2708_45.1611","Maplink3")</f>
        <v>Maplink3</v>
      </c>
    </row>
    <row r="417" spans="1:49" x14ac:dyDescent="0.25">
      <c r="A417" s="9">
        <v>31751</v>
      </c>
      <c r="B417" s="10" t="s">
        <v>13</v>
      </c>
      <c r="C417" s="10" t="s">
        <v>748</v>
      </c>
      <c r="D417" s="10" t="s">
        <v>1844</v>
      </c>
      <c r="E417" s="10" t="s">
        <v>804</v>
      </c>
      <c r="F417" s="10">
        <v>34.278333000000003</v>
      </c>
      <c r="G417" s="10">
        <v>45.163055999999997</v>
      </c>
      <c r="H417" s="11">
        <v>320</v>
      </c>
      <c r="I417" s="11">
        <v>1920</v>
      </c>
      <c r="J417" s="11"/>
      <c r="K417" s="11"/>
      <c r="L417" s="11">
        <v>3</v>
      </c>
      <c r="M417" s="11"/>
      <c r="N417" s="11"/>
      <c r="O417" s="11">
        <v>257</v>
      </c>
      <c r="P417" s="11"/>
      <c r="Q417" s="11"/>
      <c r="R417" s="11"/>
      <c r="S417" s="11"/>
      <c r="T417" s="11"/>
      <c r="U417" s="11"/>
      <c r="V417" s="11"/>
      <c r="W417" s="11"/>
      <c r="X417" s="11"/>
      <c r="Y417" s="11">
        <v>60</v>
      </c>
      <c r="Z417" s="11"/>
      <c r="AA417" s="11"/>
      <c r="AB417" s="11"/>
      <c r="AC417" s="11">
        <v>320</v>
      </c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>
        <v>170</v>
      </c>
      <c r="AO417" s="11">
        <v>150</v>
      </c>
      <c r="AP417" s="11"/>
      <c r="AQ417" s="11"/>
      <c r="AR417" s="11"/>
      <c r="AS417" s="11"/>
      <c r="AT417" s="11"/>
      <c r="AU417" s="20" t="str">
        <f>HYPERLINK("http://www.openstreetmap.org/?mlat=34.2783&amp;mlon=45.1631&amp;zoom=12#map=12/34.2783/45.1631","Maplink1")</f>
        <v>Maplink1</v>
      </c>
      <c r="AV417" s="20" t="str">
        <f>HYPERLINK("https://www.google.iq/maps/search/+34.2783,45.1631/@34.2783,45.1631,14z?hl=en","Maplink2")</f>
        <v>Maplink2</v>
      </c>
      <c r="AW417" s="20" t="str">
        <f>HYPERLINK("http://www.bing.com/maps/?lvl=14&amp;sty=h&amp;cp=34.2783~45.1631&amp;sp=point.34.2783_45.1631","Maplink3")</f>
        <v>Maplink3</v>
      </c>
    </row>
    <row r="418" spans="1:49" x14ac:dyDescent="0.25">
      <c r="A418" s="9">
        <v>31752</v>
      </c>
      <c r="B418" s="10" t="s">
        <v>13</v>
      </c>
      <c r="C418" s="10" t="s">
        <v>748</v>
      </c>
      <c r="D418" s="10" t="s">
        <v>1845</v>
      </c>
      <c r="E418" s="10" t="s">
        <v>805</v>
      </c>
      <c r="F418" s="10">
        <v>34.284166999999997</v>
      </c>
      <c r="G418" s="10">
        <v>45.161667000000001</v>
      </c>
      <c r="H418" s="11">
        <v>300</v>
      </c>
      <c r="I418" s="11">
        <v>1800</v>
      </c>
      <c r="J418" s="11"/>
      <c r="K418" s="11"/>
      <c r="L418" s="11"/>
      <c r="M418" s="11"/>
      <c r="N418" s="11"/>
      <c r="O418" s="11">
        <v>250</v>
      </c>
      <c r="P418" s="11"/>
      <c r="Q418" s="11"/>
      <c r="R418" s="11">
        <v>5</v>
      </c>
      <c r="S418" s="11"/>
      <c r="T418" s="11"/>
      <c r="U418" s="11"/>
      <c r="V418" s="11"/>
      <c r="W418" s="11"/>
      <c r="X418" s="11"/>
      <c r="Y418" s="11">
        <v>45</v>
      </c>
      <c r="Z418" s="11"/>
      <c r="AA418" s="11"/>
      <c r="AB418" s="11"/>
      <c r="AC418" s="11">
        <v>300</v>
      </c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>
        <v>160</v>
      </c>
      <c r="AO418" s="11">
        <v>140</v>
      </c>
      <c r="AP418" s="11"/>
      <c r="AQ418" s="11"/>
      <c r="AR418" s="11"/>
      <c r="AS418" s="11"/>
      <c r="AT418" s="11"/>
      <c r="AU418" s="20" t="str">
        <f>HYPERLINK("http://www.openstreetmap.org/?mlat=34.2842&amp;mlon=45.1617&amp;zoom=12#map=12/34.2842/45.1617","Maplink1")</f>
        <v>Maplink1</v>
      </c>
      <c r="AV418" s="20" t="str">
        <f>HYPERLINK("https://www.google.iq/maps/search/+34.2842,45.1617/@34.2842,45.1617,14z?hl=en","Maplink2")</f>
        <v>Maplink2</v>
      </c>
      <c r="AW418" s="20" t="str">
        <f>HYPERLINK("http://www.bing.com/maps/?lvl=14&amp;sty=h&amp;cp=34.2842~45.1617&amp;sp=point.34.2842_45.1617","Maplink3")</f>
        <v>Maplink3</v>
      </c>
    </row>
    <row r="419" spans="1:49" x14ac:dyDescent="0.25">
      <c r="A419" s="9">
        <v>27389</v>
      </c>
      <c r="B419" s="10" t="s">
        <v>13</v>
      </c>
      <c r="C419" s="10" t="s">
        <v>748</v>
      </c>
      <c r="D419" s="10" t="s">
        <v>806</v>
      </c>
      <c r="E419" s="10" t="s">
        <v>807</v>
      </c>
      <c r="F419" s="10">
        <v>34.276698879999998</v>
      </c>
      <c r="G419" s="10">
        <v>45.162752349999998</v>
      </c>
      <c r="H419" s="11">
        <v>467</v>
      </c>
      <c r="I419" s="11">
        <v>2802</v>
      </c>
      <c r="J419" s="11"/>
      <c r="K419" s="11"/>
      <c r="L419" s="11">
        <v>5</v>
      </c>
      <c r="M419" s="11"/>
      <c r="N419" s="11"/>
      <c r="O419" s="11">
        <v>300</v>
      </c>
      <c r="P419" s="11"/>
      <c r="Q419" s="11"/>
      <c r="R419" s="11">
        <v>22</v>
      </c>
      <c r="S419" s="11"/>
      <c r="T419" s="11"/>
      <c r="U419" s="11"/>
      <c r="V419" s="11"/>
      <c r="W419" s="11"/>
      <c r="X419" s="11"/>
      <c r="Y419" s="11">
        <v>140</v>
      </c>
      <c r="Z419" s="11"/>
      <c r="AA419" s="11"/>
      <c r="AB419" s="11"/>
      <c r="AC419" s="11">
        <v>467</v>
      </c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>
        <v>260</v>
      </c>
      <c r="AO419" s="11">
        <v>182</v>
      </c>
      <c r="AP419" s="11"/>
      <c r="AQ419" s="11"/>
      <c r="AR419" s="11"/>
      <c r="AS419" s="11"/>
      <c r="AT419" s="11">
        <v>25</v>
      </c>
      <c r="AU419" s="20" t="str">
        <f>HYPERLINK("http://www.openstreetmap.org/?mlat=34.2767&amp;mlon=45.1628&amp;zoom=12#map=12/34.2767/45.1628","Maplink1")</f>
        <v>Maplink1</v>
      </c>
      <c r="AV419" s="20" t="str">
        <f>HYPERLINK("https://www.google.iq/maps/search/+34.2767,45.1628/@34.2767,45.1628,14z?hl=en","Maplink2")</f>
        <v>Maplink2</v>
      </c>
      <c r="AW419" s="20" t="str">
        <f>HYPERLINK("http://www.bing.com/maps/?lvl=14&amp;sty=h&amp;cp=34.2767~45.1628&amp;sp=point.34.2767_45.1628","Maplink3")</f>
        <v>Maplink3</v>
      </c>
    </row>
    <row r="420" spans="1:49" x14ac:dyDescent="0.25">
      <c r="A420" s="9">
        <v>31767</v>
      </c>
      <c r="B420" s="10" t="s">
        <v>13</v>
      </c>
      <c r="C420" s="10" t="s">
        <v>748</v>
      </c>
      <c r="D420" s="10" t="s">
        <v>808</v>
      </c>
      <c r="E420" s="10" t="s">
        <v>809</v>
      </c>
      <c r="F420" s="10">
        <v>34.255277999999997</v>
      </c>
      <c r="G420" s="10">
        <v>45.213611</v>
      </c>
      <c r="H420" s="11">
        <v>75</v>
      </c>
      <c r="I420" s="11">
        <v>450</v>
      </c>
      <c r="J420" s="11"/>
      <c r="K420" s="11"/>
      <c r="L420" s="11"/>
      <c r="M420" s="11"/>
      <c r="N420" s="11"/>
      <c r="O420" s="11">
        <v>71</v>
      </c>
      <c r="P420" s="11"/>
      <c r="Q420" s="11"/>
      <c r="R420" s="11"/>
      <c r="S420" s="11"/>
      <c r="T420" s="11"/>
      <c r="U420" s="11"/>
      <c r="V420" s="11"/>
      <c r="W420" s="11"/>
      <c r="X420" s="11"/>
      <c r="Y420" s="11">
        <v>4</v>
      </c>
      <c r="Z420" s="11"/>
      <c r="AA420" s="11"/>
      <c r="AB420" s="11"/>
      <c r="AC420" s="11">
        <v>75</v>
      </c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>
        <v>25</v>
      </c>
      <c r="AO420" s="11">
        <v>50</v>
      </c>
      <c r="AP420" s="11"/>
      <c r="AQ420" s="11"/>
      <c r="AR420" s="11"/>
      <c r="AS420" s="11"/>
      <c r="AT420" s="11"/>
      <c r="AU420" s="20" t="str">
        <f>HYPERLINK("http://www.openstreetmap.org/?mlat=34.2553&amp;mlon=45.2136&amp;zoom=12#map=12/34.2553/45.2136","Maplink1")</f>
        <v>Maplink1</v>
      </c>
      <c r="AV420" s="20" t="str">
        <f>HYPERLINK("https://www.google.iq/maps/search/+34.2553,45.2136/@34.2553,45.2136,14z?hl=en","Maplink2")</f>
        <v>Maplink2</v>
      </c>
      <c r="AW420" s="20" t="str">
        <f>HYPERLINK("http://www.bing.com/maps/?lvl=14&amp;sty=h&amp;cp=34.2553~45.2136&amp;sp=point.34.2553_45.2136","Maplink3")</f>
        <v>Maplink3</v>
      </c>
    </row>
    <row r="421" spans="1:49" x14ac:dyDescent="0.25">
      <c r="A421" s="9">
        <v>29675</v>
      </c>
      <c r="B421" s="10" t="s">
        <v>13</v>
      </c>
      <c r="C421" s="10" t="s">
        <v>748</v>
      </c>
      <c r="D421" s="10" t="s">
        <v>810</v>
      </c>
      <c r="E421" s="10" t="s">
        <v>146</v>
      </c>
      <c r="F421" s="10">
        <v>34.267367815599997</v>
      </c>
      <c r="G421" s="10">
        <v>45.161588668199997</v>
      </c>
      <c r="H421" s="11">
        <v>347</v>
      </c>
      <c r="I421" s="11">
        <v>2082</v>
      </c>
      <c r="J421" s="11"/>
      <c r="K421" s="11"/>
      <c r="L421" s="11">
        <v>5</v>
      </c>
      <c r="M421" s="11"/>
      <c r="N421" s="11"/>
      <c r="O421" s="11">
        <v>297</v>
      </c>
      <c r="P421" s="11"/>
      <c r="Q421" s="11"/>
      <c r="R421" s="11">
        <v>15</v>
      </c>
      <c r="S421" s="11"/>
      <c r="T421" s="11"/>
      <c r="U421" s="11"/>
      <c r="V421" s="11"/>
      <c r="W421" s="11"/>
      <c r="X421" s="11"/>
      <c r="Y421" s="11">
        <v>30</v>
      </c>
      <c r="Z421" s="11"/>
      <c r="AA421" s="11"/>
      <c r="AB421" s="11"/>
      <c r="AC421" s="11">
        <v>337</v>
      </c>
      <c r="AD421" s="11"/>
      <c r="AE421" s="11"/>
      <c r="AF421" s="11"/>
      <c r="AG421" s="11"/>
      <c r="AH421" s="11"/>
      <c r="AI421" s="11">
        <v>10</v>
      </c>
      <c r="AJ421" s="11"/>
      <c r="AK421" s="11"/>
      <c r="AL421" s="11"/>
      <c r="AM421" s="11"/>
      <c r="AN421" s="11">
        <v>207</v>
      </c>
      <c r="AO421" s="11">
        <v>140</v>
      </c>
      <c r="AP421" s="11"/>
      <c r="AQ421" s="11"/>
      <c r="AR421" s="11"/>
      <c r="AS421" s="11"/>
      <c r="AT421" s="11"/>
      <c r="AU421" s="20" t="str">
        <f>HYPERLINK("http://www.openstreetmap.org/?mlat=34.2674&amp;mlon=45.1616&amp;zoom=12#map=12/34.2674/45.1616","Maplink1")</f>
        <v>Maplink1</v>
      </c>
      <c r="AV421" s="20" t="str">
        <f>HYPERLINK("https://www.google.iq/maps/search/+34.2674,45.1616/@34.2674,45.1616,14z?hl=en","Maplink2")</f>
        <v>Maplink2</v>
      </c>
      <c r="AW421" s="20" t="str">
        <f>HYPERLINK("http://www.bing.com/maps/?lvl=14&amp;sty=h&amp;cp=34.2674~45.1616&amp;sp=point.34.2674_45.1616","Maplink3")</f>
        <v>Maplink3</v>
      </c>
    </row>
    <row r="422" spans="1:49" x14ac:dyDescent="0.25">
      <c r="A422" s="9">
        <v>31763</v>
      </c>
      <c r="B422" s="10" t="s">
        <v>13</v>
      </c>
      <c r="C422" s="10" t="s">
        <v>748</v>
      </c>
      <c r="D422" s="10" t="s">
        <v>811</v>
      </c>
      <c r="E422" s="10" t="s">
        <v>812</v>
      </c>
      <c r="F422" s="10">
        <v>34.269722000000002</v>
      </c>
      <c r="G422" s="10">
        <v>45.162222</v>
      </c>
      <c r="H422" s="11">
        <v>370</v>
      </c>
      <c r="I422" s="11">
        <v>2220</v>
      </c>
      <c r="J422" s="11"/>
      <c r="K422" s="11"/>
      <c r="L422" s="11"/>
      <c r="M422" s="11"/>
      <c r="N422" s="11"/>
      <c r="O422" s="11">
        <v>294</v>
      </c>
      <c r="P422" s="11"/>
      <c r="Q422" s="11"/>
      <c r="R422" s="11">
        <v>5</v>
      </c>
      <c r="S422" s="11"/>
      <c r="T422" s="11"/>
      <c r="U422" s="11"/>
      <c r="V422" s="11"/>
      <c r="W422" s="11"/>
      <c r="X422" s="11"/>
      <c r="Y422" s="11">
        <v>71</v>
      </c>
      <c r="Z422" s="11"/>
      <c r="AA422" s="11"/>
      <c r="AB422" s="11"/>
      <c r="AC422" s="11">
        <v>360</v>
      </c>
      <c r="AD422" s="11"/>
      <c r="AE422" s="11"/>
      <c r="AF422" s="11"/>
      <c r="AG422" s="11"/>
      <c r="AH422" s="11"/>
      <c r="AI422" s="11">
        <v>10</v>
      </c>
      <c r="AJ422" s="11"/>
      <c r="AK422" s="11"/>
      <c r="AL422" s="11"/>
      <c r="AM422" s="11"/>
      <c r="AN422" s="11">
        <v>170</v>
      </c>
      <c r="AO422" s="11">
        <v>200</v>
      </c>
      <c r="AP422" s="11"/>
      <c r="AQ422" s="11"/>
      <c r="AR422" s="11"/>
      <c r="AS422" s="11"/>
      <c r="AT422" s="11"/>
      <c r="AU422" s="20" t="str">
        <f>HYPERLINK("http://www.openstreetmap.org/?mlat=34.2697&amp;mlon=45.1622&amp;zoom=12#map=12/34.2697/45.1622","Maplink1")</f>
        <v>Maplink1</v>
      </c>
      <c r="AV422" s="20" t="str">
        <f>HYPERLINK("https://www.google.iq/maps/search/+34.2697,45.1622/@34.2697,45.1622,14z?hl=en","Maplink2")</f>
        <v>Maplink2</v>
      </c>
      <c r="AW422" s="20" t="str">
        <f>HYPERLINK("http://www.bing.com/maps/?lvl=14&amp;sty=h&amp;cp=34.2697~45.1622&amp;sp=point.34.2697_45.1622","Maplink3")</f>
        <v>Maplink3</v>
      </c>
    </row>
    <row r="423" spans="1:49" x14ac:dyDescent="0.25">
      <c r="A423" s="9">
        <v>31764</v>
      </c>
      <c r="B423" s="10" t="s">
        <v>13</v>
      </c>
      <c r="C423" s="10" t="s">
        <v>748</v>
      </c>
      <c r="D423" s="10" t="s">
        <v>813</v>
      </c>
      <c r="E423" s="10" t="s">
        <v>814</v>
      </c>
      <c r="F423" s="10">
        <v>34.266666999999998</v>
      </c>
      <c r="G423" s="10">
        <v>45.163055999999997</v>
      </c>
      <c r="H423" s="11">
        <v>325</v>
      </c>
      <c r="I423" s="11">
        <v>1950</v>
      </c>
      <c r="J423" s="11"/>
      <c r="K423" s="11"/>
      <c r="L423" s="11">
        <v>10</v>
      </c>
      <c r="M423" s="11"/>
      <c r="N423" s="11"/>
      <c r="O423" s="11">
        <v>245</v>
      </c>
      <c r="P423" s="11"/>
      <c r="Q423" s="11"/>
      <c r="R423" s="11">
        <v>10</v>
      </c>
      <c r="S423" s="11"/>
      <c r="T423" s="11"/>
      <c r="U423" s="11"/>
      <c r="V423" s="11"/>
      <c r="W423" s="11"/>
      <c r="X423" s="11"/>
      <c r="Y423" s="11">
        <v>60</v>
      </c>
      <c r="Z423" s="11"/>
      <c r="AA423" s="11"/>
      <c r="AB423" s="11"/>
      <c r="AC423" s="11">
        <v>318</v>
      </c>
      <c r="AD423" s="11"/>
      <c r="AE423" s="11"/>
      <c r="AF423" s="11"/>
      <c r="AG423" s="11"/>
      <c r="AH423" s="11"/>
      <c r="AI423" s="11">
        <v>7</v>
      </c>
      <c r="AJ423" s="11"/>
      <c r="AK423" s="11"/>
      <c r="AL423" s="11"/>
      <c r="AM423" s="11"/>
      <c r="AN423" s="11">
        <v>150</v>
      </c>
      <c r="AO423" s="11">
        <v>175</v>
      </c>
      <c r="AP423" s="11"/>
      <c r="AQ423" s="11"/>
      <c r="AR423" s="11"/>
      <c r="AS423" s="11"/>
      <c r="AT423" s="11"/>
      <c r="AU423" s="20" t="str">
        <f>HYPERLINK("http://www.openstreetmap.org/?mlat=34.2667&amp;mlon=45.1631&amp;zoom=12#map=12/34.2667/45.1631","Maplink1")</f>
        <v>Maplink1</v>
      </c>
      <c r="AV423" s="20" t="str">
        <f>HYPERLINK("https://www.google.iq/maps/search/+34.2667,45.1631/@34.2667,45.1631,14z?hl=en","Maplink2")</f>
        <v>Maplink2</v>
      </c>
      <c r="AW423" s="20" t="str">
        <f>HYPERLINK("http://www.bing.com/maps/?lvl=14&amp;sty=h&amp;cp=34.2667~45.1631&amp;sp=point.34.2667_45.1631","Maplink3")</f>
        <v>Maplink3</v>
      </c>
    </row>
    <row r="424" spans="1:49" x14ac:dyDescent="0.25">
      <c r="A424" s="9">
        <v>31765</v>
      </c>
      <c r="B424" s="10" t="s">
        <v>13</v>
      </c>
      <c r="C424" s="10" t="s">
        <v>748</v>
      </c>
      <c r="D424" s="10" t="s">
        <v>815</v>
      </c>
      <c r="E424" s="10" t="s">
        <v>816</v>
      </c>
      <c r="F424" s="10">
        <v>34.264443999999997</v>
      </c>
      <c r="G424" s="10">
        <v>45.161943999999998</v>
      </c>
      <c r="H424" s="11">
        <v>390</v>
      </c>
      <c r="I424" s="11">
        <v>2340</v>
      </c>
      <c r="J424" s="11"/>
      <c r="K424" s="11"/>
      <c r="L424" s="11">
        <v>11</v>
      </c>
      <c r="M424" s="11"/>
      <c r="N424" s="11"/>
      <c r="O424" s="11">
        <v>287</v>
      </c>
      <c r="P424" s="11"/>
      <c r="Q424" s="11"/>
      <c r="R424" s="11">
        <v>12</v>
      </c>
      <c r="S424" s="11"/>
      <c r="T424" s="11"/>
      <c r="U424" s="11"/>
      <c r="V424" s="11"/>
      <c r="W424" s="11"/>
      <c r="X424" s="11"/>
      <c r="Y424" s="11">
        <v>80</v>
      </c>
      <c r="Z424" s="11"/>
      <c r="AA424" s="11"/>
      <c r="AB424" s="11"/>
      <c r="AC424" s="11">
        <v>390</v>
      </c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>
        <v>185</v>
      </c>
      <c r="AO424" s="11">
        <v>205</v>
      </c>
      <c r="AP424" s="11"/>
      <c r="AQ424" s="11"/>
      <c r="AR424" s="11"/>
      <c r="AS424" s="11"/>
      <c r="AT424" s="11"/>
      <c r="AU424" s="20" t="str">
        <f>HYPERLINK("http://www.openstreetmap.org/?mlat=34.2644&amp;mlon=45.1619&amp;zoom=12#map=12/34.2644/45.1619","Maplink1")</f>
        <v>Maplink1</v>
      </c>
      <c r="AV424" s="20" t="str">
        <f>HYPERLINK("https://www.google.iq/maps/search/+34.2644,45.1619/@34.2644,45.1619,14z?hl=en","Maplink2")</f>
        <v>Maplink2</v>
      </c>
      <c r="AW424" s="20" t="str">
        <f>HYPERLINK("http://www.bing.com/maps/?lvl=14&amp;sty=h&amp;cp=34.2644~45.1619&amp;sp=point.34.2644_45.1619","Maplink3")</f>
        <v>Maplink3</v>
      </c>
    </row>
    <row r="425" spans="1:49" x14ac:dyDescent="0.25">
      <c r="A425" s="9">
        <v>31766</v>
      </c>
      <c r="B425" s="10" t="s">
        <v>13</v>
      </c>
      <c r="C425" s="10" t="s">
        <v>748</v>
      </c>
      <c r="D425" s="10" t="s">
        <v>817</v>
      </c>
      <c r="E425" s="10" t="s">
        <v>818</v>
      </c>
      <c r="F425" s="10">
        <v>34.262777999999997</v>
      </c>
      <c r="G425" s="10">
        <v>45.159722000000002</v>
      </c>
      <c r="H425" s="11">
        <v>600</v>
      </c>
      <c r="I425" s="11">
        <v>3600</v>
      </c>
      <c r="J425" s="11"/>
      <c r="K425" s="11"/>
      <c r="L425" s="11">
        <v>15</v>
      </c>
      <c r="M425" s="11"/>
      <c r="N425" s="11"/>
      <c r="O425" s="11">
        <v>450</v>
      </c>
      <c r="P425" s="11"/>
      <c r="Q425" s="11"/>
      <c r="R425" s="11">
        <v>30</v>
      </c>
      <c r="S425" s="11"/>
      <c r="T425" s="11"/>
      <c r="U425" s="11"/>
      <c r="V425" s="11"/>
      <c r="W425" s="11"/>
      <c r="X425" s="11"/>
      <c r="Y425" s="11">
        <v>105</v>
      </c>
      <c r="Z425" s="11"/>
      <c r="AA425" s="11"/>
      <c r="AB425" s="11"/>
      <c r="AC425" s="11">
        <v>600</v>
      </c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>
        <v>250</v>
      </c>
      <c r="AO425" s="11">
        <v>350</v>
      </c>
      <c r="AP425" s="11"/>
      <c r="AQ425" s="11"/>
      <c r="AR425" s="11"/>
      <c r="AS425" s="11"/>
      <c r="AT425" s="11"/>
      <c r="AU425" s="20" t="str">
        <f>HYPERLINK("http://www.openstreetmap.org/?mlat=34.2628&amp;mlon=45.1597&amp;zoom=12#map=12/34.2628/45.1597","Maplink1")</f>
        <v>Maplink1</v>
      </c>
      <c r="AV425" s="20" t="str">
        <f>HYPERLINK("https://www.google.iq/maps/search/+34.2628,45.1597/@34.2628,45.1597,14z?hl=en","Maplink2")</f>
        <v>Maplink2</v>
      </c>
      <c r="AW425" s="20" t="str">
        <f>HYPERLINK("http://www.bing.com/maps/?lvl=14&amp;sty=h&amp;cp=34.2628~45.1597&amp;sp=point.34.2628_45.1597","Maplink3")</f>
        <v>Maplink3</v>
      </c>
    </row>
    <row r="426" spans="1:49" x14ac:dyDescent="0.25">
      <c r="A426" s="9">
        <v>29587</v>
      </c>
      <c r="B426" s="10" t="s">
        <v>13</v>
      </c>
      <c r="C426" s="10" t="s">
        <v>748</v>
      </c>
      <c r="D426" s="10" t="s">
        <v>819</v>
      </c>
      <c r="E426" s="10" t="s">
        <v>820</v>
      </c>
      <c r="F426" s="10">
        <v>34.186426304800001</v>
      </c>
      <c r="G426" s="10">
        <v>45.114978194000003</v>
      </c>
      <c r="H426" s="11">
        <v>75</v>
      </c>
      <c r="I426" s="11">
        <v>450</v>
      </c>
      <c r="J426" s="11"/>
      <c r="K426" s="11"/>
      <c r="L426" s="11"/>
      <c r="M426" s="11"/>
      <c r="N426" s="11"/>
      <c r="O426" s="11">
        <v>58</v>
      </c>
      <c r="P426" s="11">
        <v>2</v>
      </c>
      <c r="Q426" s="11"/>
      <c r="R426" s="11">
        <v>6</v>
      </c>
      <c r="S426" s="11"/>
      <c r="T426" s="11"/>
      <c r="U426" s="11"/>
      <c r="V426" s="11"/>
      <c r="W426" s="11"/>
      <c r="X426" s="11"/>
      <c r="Y426" s="11">
        <v>9</v>
      </c>
      <c r="Z426" s="11"/>
      <c r="AA426" s="11"/>
      <c r="AB426" s="11"/>
      <c r="AC426" s="11">
        <v>75</v>
      </c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>
        <v>73</v>
      </c>
      <c r="AO426" s="11">
        <v>2</v>
      </c>
      <c r="AP426" s="11"/>
      <c r="AQ426" s="11"/>
      <c r="AR426" s="11"/>
      <c r="AS426" s="11"/>
      <c r="AT426" s="11"/>
      <c r="AU426" s="20" t="str">
        <f>HYPERLINK("http://www.openstreetmap.org/?mlat=34.1864&amp;mlon=45.115&amp;zoom=12#map=12/34.1864/45.115","Maplink1")</f>
        <v>Maplink1</v>
      </c>
      <c r="AV426" s="20" t="str">
        <f>HYPERLINK("https://www.google.iq/maps/search/+34.1864,45.115/@34.1864,45.115,14z?hl=en","Maplink2")</f>
        <v>Maplink2</v>
      </c>
      <c r="AW426" s="20" t="str">
        <f>HYPERLINK("http://www.bing.com/maps/?lvl=14&amp;sty=h&amp;cp=34.1864~45.115&amp;sp=point.34.1864_45.115","Maplink3")</f>
        <v>Maplink3</v>
      </c>
    </row>
    <row r="427" spans="1:49" x14ac:dyDescent="0.25">
      <c r="A427" s="9">
        <v>28460</v>
      </c>
      <c r="B427" s="10" t="s">
        <v>13</v>
      </c>
      <c r="C427" s="10" t="s">
        <v>748</v>
      </c>
      <c r="D427" s="10" t="s">
        <v>821</v>
      </c>
      <c r="E427" s="10" t="s">
        <v>820</v>
      </c>
      <c r="F427" s="10">
        <v>34.288499219999999</v>
      </c>
      <c r="G427" s="10">
        <v>45.160837190000002</v>
      </c>
      <c r="H427" s="11">
        <v>460</v>
      </c>
      <c r="I427" s="11">
        <v>2760</v>
      </c>
      <c r="J427" s="11"/>
      <c r="K427" s="11"/>
      <c r="L427" s="11">
        <v>5</v>
      </c>
      <c r="M427" s="11"/>
      <c r="N427" s="11"/>
      <c r="O427" s="11">
        <v>295</v>
      </c>
      <c r="P427" s="11">
        <v>3</v>
      </c>
      <c r="Q427" s="11"/>
      <c r="R427" s="11">
        <v>22</v>
      </c>
      <c r="S427" s="11"/>
      <c r="T427" s="11"/>
      <c r="U427" s="11"/>
      <c r="V427" s="11"/>
      <c r="W427" s="11"/>
      <c r="X427" s="11"/>
      <c r="Y427" s="11">
        <v>135</v>
      </c>
      <c r="Z427" s="11"/>
      <c r="AA427" s="11"/>
      <c r="AB427" s="11"/>
      <c r="AC427" s="11">
        <v>460</v>
      </c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>
        <v>240</v>
      </c>
      <c r="AO427" s="11">
        <v>170</v>
      </c>
      <c r="AP427" s="11"/>
      <c r="AQ427" s="11"/>
      <c r="AR427" s="11"/>
      <c r="AS427" s="11"/>
      <c r="AT427" s="11">
        <v>50</v>
      </c>
      <c r="AU427" s="20" t="str">
        <f>HYPERLINK("http://www.openstreetmap.org/?mlat=34.2885&amp;mlon=45.1608&amp;zoom=12#map=12/34.2885/45.1608","Maplink1")</f>
        <v>Maplink1</v>
      </c>
      <c r="AV427" s="20" t="str">
        <f>HYPERLINK("https://www.google.iq/maps/search/+34.2885,45.1608/@34.2885,45.1608,14z?hl=en","Maplink2")</f>
        <v>Maplink2</v>
      </c>
      <c r="AW427" s="20" t="str">
        <f>HYPERLINK("http://www.bing.com/maps/?lvl=14&amp;sty=h&amp;cp=34.2885~45.1608&amp;sp=point.34.2885_45.1608","Maplink3")</f>
        <v>Maplink3</v>
      </c>
    </row>
    <row r="428" spans="1:49" x14ac:dyDescent="0.25">
      <c r="A428" s="9">
        <v>31745</v>
      </c>
      <c r="B428" s="10" t="s">
        <v>13</v>
      </c>
      <c r="C428" s="10" t="s">
        <v>748</v>
      </c>
      <c r="D428" s="10" t="s">
        <v>822</v>
      </c>
      <c r="E428" s="10" t="s">
        <v>823</v>
      </c>
      <c r="F428" s="10">
        <v>34.28763</v>
      </c>
      <c r="G428" s="10">
        <v>45.163473000000003</v>
      </c>
      <c r="H428" s="11">
        <v>354</v>
      </c>
      <c r="I428" s="11">
        <v>2124</v>
      </c>
      <c r="J428" s="11"/>
      <c r="K428" s="11"/>
      <c r="L428" s="11">
        <v>8</v>
      </c>
      <c r="M428" s="11"/>
      <c r="N428" s="11"/>
      <c r="O428" s="11">
        <v>289</v>
      </c>
      <c r="P428" s="11"/>
      <c r="Q428" s="11"/>
      <c r="R428" s="11">
        <v>7</v>
      </c>
      <c r="S428" s="11"/>
      <c r="T428" s="11"/>
      <c r="U428" s="11"/>
      <c r="V428" s="11"/>
      <c r="W428" s="11"/>
      <c r="X428" s="11"/>
      <c r="Y428" s="11">
        <v>50</v>
      </c>
      <c r="Z428" s="11"/>
      <c r="AA428" s="11"/>
      <c r="AB428" s="11"/>
      <c r="AC428" s="11">
        <v>354</v>
      </c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>
        <v>154</v>
      </c>
      <c r="AO428" s="11">
        <v>200</v>
      </c>
      <c r="AP428" s="11"/>
      <c r="AQ428" s="11"/>
      <c r="AR428" s="11"/>
      <c r="AS428" s="11"/>
      <c r="AT428" s="11"/>
      <c r="AU428" s="20" t="str">
        <f>HYPERLINK("http://www.openstreetmap.org/?mlat=34.2876&amp;mlon=45.1635&amp;zoom=12#map=12/34.2876/45.1635","Maplink1")</f>
        <v>Maplink1</v>
      </c>
      <c r="AV428" s="20" t="str">
        <f>HYPERLINK("https://www.google.iq/maps/search/+34.2876,45.1635/@34.2876,45.1635,14z?hl=en","Maplink2")</f>
        <v>Maplink2</v>
      </c>
      <c r="AW428" s="20" t="str">
        <f>HYPERLINK("http://www.bing.com/maps/?lvl=14&amp;sty=h&amp;cp=34.2876~45.1635&amp;sp=point.34.2876_45.1635","Maplink3")</f>
        <v>Maplink3</v>
      </c>
    </row>
    <row r="429" spans="1:49" x14ac:dyDescent="0.25">
      <c r="A429" s="9">
        <v>31746</v>
      </c>
      <c r="B429" s="10" t="s">
        <v>13</v>
      </c>
      <c r="C429" s="10" t="s">
        <v>748</v>
      </c>
      <c r="D429" s="10" t="s">
        <v>824</v>
      </c>
      <c r="E429" s="10" t="s">
        <v>825</v>
      </c>
      <c r="F429" s="10">
        <v>34.287222</v>
      </c>
      <c r="G429" s="10">
        <v>45.165556000000002</v>
      </c>
      <c r="H429" s="11">
        <v>300</v>
      </c>
      <c r="I429" s="11">
        <v>1800</v>
      </c>
      <c r="J429" s="11"/>
      <c r="K429" s="11"/>
      <c r="L429" s="11"/>
      <c r="M429" s="11"/>
      <c r="N429" s="11"/>
      <c r="O429" s="11">
        <v>250</v>
      </c>
      <c r="P429" s="11"/>
      <c r="Q429" s="11"/>
      <c r="R429" s="11"/>
      <c r="S429" s="11"/>
      <c r="T429" s="11"/>
      <c r="U429" s="11"/>
      <c r="V429" s="11"/>
      <c r="W429" s="11"/>
      <c r="X429" s="11"/>
      <c r="Y429" s="11">
        <v>50</v>
      </c>
      <c r="Z429" s="11"/>
      <c r="AA429" s="11"/>
      <c r="AB429" s="11"/>
      <c r="AC429" s="11">
        <v>300</v>
      </c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>
        <v>200</v>
      </c>
      <c r="AO429" s="11">
        <v>100</v>
      </c>
      <c r="AP429" s="11"/>
      <c r="AQ429" s="11"/>
      <c r="AR429" s="11"/>
      <c r="AS429" s="11"/>
      <c r="AT429" s="11"/>
      <c r="AU429" s="20" t="str">
        <f>HYPERLINK("http://www.openstreetmap.org/?mlat=34.2872&amp;mlon=45.1656&amp;zoom=12#map=12/34.2872/45.1656","Maplink1")</f>
        <v>Maplink1</v>
      </c>
      <c r="AV429" s="20" t="str">
        <f>HYPERLINK("https://www.google.iq/maps/search/+34.2872,45.1656/@34.2872,45.1656,14z?hl=en","Maplink2")</f>
        <v>Maplink2</v>
      </c>
      <c r="AW429" s="20" t="str">
        <f>HYPERLINK("http://www.bing.com/maps/?lvl=14&amp;sty=h&amp;cp=34.2872~45.1656&amp;sp=point.34.2872_45.1656","Maplink3")</f>
        <v>Maplink3</v>
      </c>
    </row>
    <row r="430" spans="1:49" x14ac:dyDescent="0.25">
      <c r="A430" s="9">
        <v>31747</v>
      </c>
      <c r="B430" s="10" t="s">
        <v>13</v>
      </c>
      <c r="C430" s="10" t="s">
        <v>748</v>
      </c>
      <c r="D430" s="10" t="s">
        <v>826</v>
      </c>
      <c r="E430" s="10" t="s">
        <v>827</v>
      </c>
      <c r="F430" s="10">
        <v>34.288611000000003</v>
      </c>
      <c r="G430" s="10">
        <v>45.168056</v>
      </c>
      <c r="H430" s="11">
        <v>200</v>
      </c>
      <c r="I430" s="11">
        <v>1200</v>
      </c>
      <c r="J430" s="11"/>
      <c r="K430" s="11"/>
      <c r="L430" s="11"/>
      <c r="M430" s="11"/>
      <c r="N430" s="11"/>
      <c r="O430" s="11">
        <v>160</v>
      </c>
      <c r="P430" s="11"/>
      <c r="Q430" s="11"/>
      <c r="R430" s="11">
        <v>5</v>
      </c>
      <c r="S430" s="11"/>
      <c r="T430" s="11"/>
      <c r="U430" s="11"/>
      <c r="V430" s="11"/>
      <c r="W430" s="11"/>
      <c r="X430" s="11"/>
      <c r="Y430" s="11">
        <v>35</v>
      </c>
      <c r="Z430" s="11"/>
      <c r="AA430" s="11"/>
      <c r="AB430" s="11"/>
      <c r="AC430" s="11">
        <v>200</v>
      </c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>
        <v>130</v>
      </c>
      <c r="AO430" s="11">
        <v>70</v>
      </c>
      <c r="AP430" s="11"/>
      <c r="AQ430" s="11"/>
      <c r="AR430" s="11"/>
      <c r="AS430" s="11"/>
      <c r="AT430" s="11"/>
      <c r="AU430" s="20" t="str">
        <f>HYPERLINK("http://www.openstreetmap.org/?mlat=34.2886&amp;mlon=45.1681&amp;zoom=12#map=12/34.2886/45.1681","Maplink1")</f>
        <v>Maplink1</v>
      </c>
      <c r="AV430" s="20" t="str">
        <f>HYPERLINK("https://www.google.iq/maps/search/+34.2886,45.1681/@34.2886,45.1681,14z?hl=en","Maplink2")</f>
        <v>Maplink2</v>
      </c>
      <c r="AW430" s="20" t="str">
        <f>HYPERLINK("http://www.bing.com/maps/?lvl=14&amp;sty=h&amp;cp=34.2886~45.1681&amp;sp=point.34.2886_45.1681","Maplink3")</f>
        <v>Maplink3</v>
      </c>
    </row>
    <row r="431" spans="1:49" x14ac:dyDescent="0.25">
      <c r="A431" s="9">
        <v>29629</v>
      </c>
      <c r="B431" s="10" t="s">
        <v>13</v>
      </c>
      <c r="C431" s="10" t="s">
        <v>748</v>
      </c>
      <c r="D431" s="10" t="s">
        <v>828</v>
      </c>
      <c r="E431" s="10" t="s">
        <v>829</v>
      </c>
      <c r="F431" s="10">
        <v>34.155168893899997</v>
      </c>
      <c r="G431" s="10">
        <v>45.127185000200001</v>
      </c>
      <c r="H431" s="11">
        <v>220</v>
      </c>
      <c r="I431" s="11">
        <v>1320</v>
      </c>
      <c r="J431" s="11"/>
      <c r="K431" s="11"/>
      <c r="L431" s="11"/>
      <c r="M431" s="11"/>
      <c r="N431" s="11"/>
      <c r="O431" s="11">
        <v>220</v>
      </c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>
        <v>220</v>
      </c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>
        <v>220</v>
      </c>
      <c r="AO431" s="11"/>
      <c r="AP431" s="11"/>
      <c r="AQ431" s="11"/>
      <c r="AR431" s="11"/>
      <c r="AS431" s="11"/>
      <c r="AT431" s="11"/>
      <c r="AU431" s="20" t="str">
        <f>HYPERLINK("http://www.openstreetmap.org/?mlat=34.1552&amp;mlon=45.1272&amp;zoom=12#map=12/34.1552/45.1272","Maplink1")</f>
        <v>Maplink1</v>
      </c>
      <c r="AV431" s="20" t="str">
        <f>HYPERLINK("https://www.google.iq/maps/search/+34.1552,45.1272/@34.1552,45.1272,14z?hl=en","Maplink2")</f>
        <v>Maplink2</v>
      </c>
      <c r="AW431" s="20" t="str">
        <f>HYPERLINK("http://www.bing.com/maps/?lvl=14&amp;sty=h&amp;cp=34.1552~45.1272&amp;sp=point.34.1552_45.1272","Maplink3")</f>
        <v>Maplink3</v>
      </c>
    </row>
    <row r="432" spans="1:49" x14ac:dyDescent="0.25">
      <c r="A432" s="9">
        <v>32022</v>
      </c>
      <c r="B432" s="10" t="s">
        <v>13</v>
      </c>
      <c r="C432" s="10" t="s">
        <v>748</v>
      </c>
      <c r="D432" s="10" t="s">
        <v>830</v>
      </c>
      <c r="E432" s="10" t="s">
        <v>831</v>
      </c>
      <c r="F432" s="10">
        <v>34.205703</v>
      </c>
      <c r="G432" s="10">
        <v>45.117192000000003</v>
      </c>
      <c r="H432" s="11">
        <v>18</v>
      </c>
      <c r="I432" s="11">
        <v>108</v>
      </c>
      <c r="J432" s="11"/>
      <c r="K432" s="11"/>
      <c r="L432" s="11"/>
      <c r="M432" s="11"/>
      <c r="N432" s="11"/>
      <c r="O432" s="11">
        <v>18</v>
      </c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>
        <v>18</v>
      </c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>
        <v>18</v>
      </c>
      <c r="AO432" s="11"/>
      <c r="AP432" s="11"/>
      <c r="AQ432" s="11"/>
      <c r="AR432" s="11"/>
      <c r="AS432" s="11"/>
      <c r="AT432" s="11"/>
      <c r="AU432" s="20" t="str">
        <f>HYPERLINK("http://www.openstreetmap.org/?mlat=34.2057&amp;mlon=45.1172&amp;zoom=12#map=12/34.2057/45.1172","Maplink1")</f>
        <v>Maplink1</v>
      </c>
      <c r="AV432" s="20" t="str">
        <f>HYPERLINK("https://www.google.iq/maps/search/+34.2057,45.1172/@34.2057,45.1172,14z?hl=en","Maplink2")</f>
        <v>Maplink2</v>
      </c>
      <c r="AW432" s="20" t="str">
        <f>HYPERLINK("http://www.bing.com/maps/?lvl=14&amp;sty=h&amp;cp=34.2057~45.1172&amp;sp=point.34.2057_45.1172","Maplink3")</f>
        <v>Maplink3</v>
      </c>
    </row>
    <row r="433" spans="1:49" x14ac:dyDescent="0.25">
      <c r="A433" s="9">
        <v>33185</v>
      </c>
      <c r="B433" s="10" t="s">
        <v>13</v>
      </c>
      <c r="C433" s="10" t="s">
        <v>748</v>
      </c>
      <c r="D433" s="10" t="s">
        <v>1846</v>
      </c>
      <c r="E433" s="10" t="s">
        <v>1847</v>
      </c>
      <c r="F433" s="10">
        <v>34.283127</v>
      </c>
      <c r="G433" s="10">
        <v>45.154418999999997</v>
      </c>
      <c r="H433" s="11">
        <v>400</v>
      </c>
      <c r="I433" s="11">
        <v>2400</v>
      </c>
      <c r="J433" s="11"/>
      <c r="K433" s="11"/>
      <c r="L433" s="11"/>
      <c r="M433" s="11"/>
      <c r="N433" s="11"/>
      <c r="O433" s="11">
        <v>400</v>
      </c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>
        <v>400</v>
      </c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>
        <v>375</v>
      </c>
      <c r="AO433" s="11">
        <v>25</v>
      </c>
      <c r="AP433" s="11"/>
      <c r="AQ433" s="11"/>
      <c r="AR433" s="11"/>
      <c r="AS433" s="11"/>
      <c r="AT433" s="11"/>
      <c r="AU433" s="20" t="str">
        <f>HYPERLINK("http://www.openstreetmap.org/?mlat=34.2831&amp;mlon=45.1544&amp;zoom=12#map=12/34.2831/45.1544","Maplink1")</f>
        <v>Maplink1</v>
      </c>
      <c r="AV433" s="20" t="str">
        <f>HYPERLINK("https://www.google.iq/maps/search/+34.2831,45.1544/@34.2831,45.1544,14z?hl=en","Maplink2")</f>
        <v>Maplink2</v>
      </c>
      <c r="AW433" s="20" t="str">
        <f>HYPERLINK("http://www.bing.com/maps/?lvl=14&amp;sty=h&amp;cp=34.2831~45.1544&amp;sp=point.34.2831_45.1544","Maplink3")</f>
        <v>Maplink3</v>
      </c>
    </row>
    <row r="434" spans="1:49" x14ac:dyDescent="0.25">
      <c r="A434" s="9">
        <v>29630</v>
      </c>
      <c r="B434" s="10" t="s">
        <v>13</v>
      </c>
      <c r="C434" s="10" t="s">
        <v>748</v>
      </c>
      <c r="D434" s="10" t="s">
        <v>832</v>
      </c>
      <c r="E434" s="10" t="s">
        <v>833</v>
      </c>
      <c r="F434" s="10">
        <v>34.224861591200003</v>
      </c>
      <c r="G434" s="10">
        <v>45.132155941299999</v>
      </c>
      <c r="H434" s="11">
        <v>340</v>
      </c>
      <c r="I434" s="11">
        <v>2040</v>
      </c>
      <c r="J434" s="11"/>
      <c r="K434" s="11"/>
      <c r="L434" s="11"/>
      <c r="M434" s="11"/>
      <c r="N434" s="11"/>
      <c r="O434" s="11">
        <v>310</v>
      </c>
      <c r="P434" s="11"/>
      <c r="Q434" s="11"/>
      <c r="R434" s="11"/>
      <c r="S434" s="11"/>
      <c r="T434" s="11"/>
      <c r="U434" s="11"/>
      <c r="V434" s="11"/>
      <c r="W434" s="11"/>
      <c r="X434" s="11"/>
      <c r="Y434" s="11">
        <v>30</v>
      </c>
      <c r="Z434" s="11"/>
      <c r="AA434" s="11"/>
      <c r="AB434" s="11"/>
      <c r="AC434" s="11">
        <v>340</v>
      </c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>
        <v>340</v>
      </c>
      <c r="AO434" s="11"/>
      <c r="AP434" s="11"/>
      <c r="AQ434" s="11"/>
      <c r="AR434" s="11"/>
      <c r="AS434" s="11"/>
      <c r="AT434" s="11"/>
      <c r="AU434" s="20" t="str">
        <f>HYPERLINK("http://www.openstreetmap.org/?mlat=34.2249&amp;mlon=45.1322&amp;zoom=12#map=12/34.2249/45.1322","Maplink1")</f>
        <v>Maplink1</v>
      </c>
      <c r="AV434" s="20" t="str">
        <f>HYPERLINK("https://www.google.iq/maps/search/+34.2249,45.1322/@34.2249,45.1322,14z?hl=en","Maplink2")</f>
        <v>Maplink2</v>
      </c>
      <c r="AW434" s="20" t="str">
        <f>HYPERLINK("http://www.bing.com/maps/?lvl=14&amp;sty=h&amp;cp=34.2249~45.1322&amp;sp=point.34.2249_45.1322","Maplink3")</f>
        <v>Maplink3</v>
      </c>
    </row>
    <row r="435" spans="1:49" x14ac:dyDescent="0.25">
      <c r="A435" s="9">
        <v>29520</v>
      </c>
      <c r="B435" s="10" t="s">
        <v>13</v>
      </c>
      <c r="C435" s="10" t="s">
        <v>748</v>
      </c>
      <c r="D435" s="10" t="s">
        <v>834</v>
      </c>
      <c r="E435" s="10" t="s">
        <v>835</v>
      </c>
      <c r="F435" s="10">
        <v>34.189599370000003</v>
      </c>
      <c r="G435" s="10">
        <v>45.116669379999998</v>
      </c>
      <c r="H435" s="11">
        <v>173</v>
      </c>
      <c r="I435" s="11">
        <v>1038</v>
      </c>
      <c r="J435" s="11"/>
      <c r="K435" s="11"/>
      <c r="L435" s="11"/>
      <c r="M435" s="11"/>
      <c r="N435" s="11"/>
      <c r="O435" s="11">
        <v>150</v>
      </c>
      <c r="P435" s="11"/>
      <c r="Q435" s="11"/>
      <c r="R435" s="11">
        <v>5</v>
      </c>
      <c r="S435" s="11"/>
      <c r="T435" s="11"/>
      <c r="U435" s="11"/>
      <c r="V435" s="11"/>
      <c r="W435" s="11"/>
      <c r="X435" s="11"/>
      <c r="Y435" s="11">
        <v>18</v>
      </c>
      <c r="Z435" s="11"/>
      <c r="AA435" s="11"/>
      <c r="AB435" s="11"/>
      <c r="AC435" s="11">
        <v>173</v>
      </c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>
        <v>173</v>
      </c>
      <c r="AO435" s="11"/>
      <c r="AP435" s="11"/>
      <c r="AQ435" s="11"/>
      <c r="AR435" s="11"/>
      <c r="AS435" s="11"/>
      <c r="AT435" s="11"/>
      <c r="AU435" s="20" t="str">
        <f>HYPERLINK("http://www.openstreetmap.org/?mlat=34.1896&amp;mlon=45.1167&amp;zoom=12#map=12/34.1896/45.1167","Maplink1")</f>
        <v>Maplink1</v>
      </c>
      <c r="AV435" s="20" t="str">
        <f>HYPERLINK("https://www.google.iq/maps/search/+34.1896,45.1167/@34.1896,45.1167,14z?hl=en","Maplink2")</f>
        <v>Maplink2</v>
      </c>
      <c r="AW435" s="20" t="str">
        <f>HYPERLINK("http://www.bing.com/maps/?lvl=14&amp;sty=h&amp;cp=34.1896~45.1167&amp;sp=point.34.1896_45.1167","Maplink3")</f>
        <v>Maplink3</v>
      </c>
    </row>
    <row r="436" spans="1:49" x14ac:dyDescent="0.25">
      <c r="A436" s="9">
        <v>10747</v>
      </c>
      <c r="B436" s="10" t="s">
        <v>13</v>
      </c>
      <c r="C436" s="10" t="s">
        <v>748</v>
      </c>
      <c r="D436" s="10" t="s">
        <v>836</v>
      </c>
      <c r="E436" s="10" t="s">
        <v>837</v>
      </c>
      <c r="F436" s="10">
        <v>34.2988417969</v>
      </c>
      <c r="G436" s="10">
        <v>45.174670383900001</v>
      </c>
      <c r="H436" s="11">
        <v>67</v>
      </c>
      <c r="I436" s="11">
        <v>402</v>
      </c>
      <c r="J436" s="11"/>
      <c r="K436" s="11"/>
      <c r="L436" s="11"/>
      <c r="M436" s="11"/>
      <c r="N436" s="11"/>
      <c r="O436" s="11">
        <v>67</v>
      </c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>
        <v>62</v>
      </c>
      <c r="AD436" s="11">
        <v>5</v>
      </c>
      <c r="AE436" s="11"/>
      <c r="AF436" s="11"/>
      <c r="AG436" s="11"/>
      <c r="AH436" s="11"/>
      <c r="AI436" s="11"/>
      <c r="AJ436" s="11"/>
      <c r="AK436" s="11"/>
      <c r="AL436" s="11"/>
      <c r="AM436" s="11"/>
      <c r="AN436" s="11">
        <v>67</v>
      </c>
      <c r="AO436" s="11"/>
      <c r="AP436" s="11"/>
      <c r="AQ436" s="11"/>
      <c r="AR436" s="11"/>
      <c r="AS436" s="11"/>
      <c r="AT436" s="11"/>
      <c r="AU436" s="20" t="str">
        <f>HYPERLINK("http://www.openstreetmap.org/?mlat=34.2988&amp;mlon=45.1747&amp;zoom=12#map=12/34.2988/45.1747","Maplink1")</f>
        <v>Maplink1</v>
      </c>
      <c r="AV436" s="20" t="str">
        <f>HYPERLINK("https://www.google.iq/maps/search/+34.2988,45.1747/@34.2988,45.1747,14z?hl=en","Maplink2")</f>
        <v>Maplink2</v>
      </c>
      <c r="AW436" s="20" t="str">
        <f>HYPERLINK("http://www.bing.com/maps/?lvl=14&amp;sty=h&amp;cp=34.2988~45.1747&amp;sp=point.34.2988_45.1747","Maplink3")</f>
        <v>Maplink3</v>
      </c>
    </row>
    <row r="437" spans="1:49" x14ac:dyDescent="0.25">
      <c r="A437" s="9">
        <v>27390</v>
      </c>
      <c r="B437" s="10" t="s">
        <v>13</v>
      </c>
      <c r="C437" s="10" t="s">
        <v>748</v>
      </c>
      <c r="D437" s="10" t="s">
        <v>838</v>
      </c>
      <c r="E437" s="10" t="s">
        <v>839</v>
      </c>
      <c r="F437" s="10">
        <v>34.297207562099999</v>
      </c>
      <c r="G437" s="10">
        <v>45.171253284899997</v>
      </c>
      <c r="H437" s="11">
        <v>68</v>
      </c>
      <c r="I437" s="11">
        <v>408</v>
      </c>
      <c r="J437" s="11"/>
      <c r="K437" s="11"/>
      <c r="L437" s="11"/>
      <c r="M437" s="11"/>
      <c r="N437" s="11"/>
      <c r="O437" s="11">
        <v>68</v>
      </c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>
        <v>68</v>
      </c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>
        <v>68</v>
      </c>
      <c r="AO437" s="11"/>
      <c r="AP437" s="11"/>
      <c r="AQ437" s="11"/>
      <c r="AR437" s="11"/>
      <c r="AS437" s="11"/>
      <c r="AT437" s="11"/>
      <c r="AU437" s="20" t="str">
        <f>HYPERLINK("http://www.openstreetmap.org/?mlat=34.2972&amp;mlon=45.1713&amp;zoom=12#map=12/34.2972/45.1713","Maplink1")</f>
        <v>Maplink1</v>
      </c>
      <c r="AV437" s="20" t="str">
        <f>HYPERLINK("https://www.google.iq/maps/search/+34.2972,45.1713/@34.2972,45.1713,14z?hl=en","Maplink2")</f>
        <v>Maplink2</v>
      </c>
      <c r="AW437" s="20" t="str">
        <f>HYPERLINK("http://www.bing.com/maps/?lvl=14&amp;sty=h&amp;cp=34.2972~45.1713&amp;sp=point.34.2972_45.1713","Maplink3")</f>
        <v>Maplink3</v>
      </c>
    </row>
    <row r="438" spans="1:49" x14ac:dyDescent="0.25">
      <c r="A438" s="9">
        <v>10945</v>
      </c>
      <c r="B438" s="10" t="s">
        <v>13</v>
      </c>
      <c r="C438" s="10" t="s">
        <v>748</v>
      </c>
      <c r="D438" s="10" t="s">
        <v>840</v>
      </c>
      <c r="E438" s="10" t="s">
        <v>841</v>
      </c>
      <c r="F438" s="10">
        <v>34.257221999999999</v>
      </c>
      <c r="G438" s="10">
        <v>45.212221999999997</v>
      </c>
      <c r="H438" s="11">
        <v>72</v>
      </c>
      <c r="I438" s="11">
        <v>432</v>
      </c>
      <c r="J438" s="11"/>
      <c r="K438" s="11"/>
      <c r="L438" s="11"/>
      <c r="M438" s="11"/>
      <c r="N438" s="11"/>
      <c r="O438" s="11">
        <v>67</v>
      </c>
      <c r="P438" s="11"/>
      <c r="Q438" s="11"/>
      <c r="R438" s="11"/>
      <c r="S438" s="11"/>
      <c r="T438" s="11"/>
      <c r="U438" s="11"/>
      <c r="V438" s="11"/>
      <c r="W438" s="11"/>
      <c r="X438" s="11"/>
      <c r="Y438" s="11">
        <v>5</v>
      </c>
      <c r="Z438" s="11"/>
      <c r="AA438" s="11"/>
      <c r="AB438" s="11"/>
      <c r="AC438" s="11">
        <v>72</v>
      </c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>
        <v>32</v>
      </c>
      <c r="AO438" s="11">
        <v>40</v>
      </c>
      <c r="AP438" s="11"/>
      <c r="AQ438" s="11"/>
      <c r="AR438" s="11"/>
      <c r="AS438" s="11"/>
      <c r="AT438" s="11"/>
      <c r="AU438" s="20" t="str">
        <f>HYPERLINK("http://www.openstreetmap.org/?mlat=34.2572&amp;mlon=45.2122&amp;zoom=12#map=12/34.2572/45.2122","Maplink1")</f>
        <v>Maplink1</v>
      </c>
      <c r="AV438" s="20" t="str">
        <f>HYPERLINK("https://www.google.iq/maps/search/+34.2572,45.2122/@34.2572,45.2122,14z?hl=en","Maplink2")</f>
        <v>Maplink2</v>
      </c>
      <c r="AW438" s="20" t="str">
        <f>HYPERLINK("http://www.bing.com/maps/?lvl=14&amp;sty=h&amp;cp=34.2572~45.2122&amp;sp=point.34.2572_45.2122","Maplink3")</f>
        <v>Maplink3</v>
      </c>
    </row>
    <row r="439" spans="1:49" x14ac:dyDescent="0.25">
      <c r="A439" s="9">
        <v>25703</v>
      </c>
      <c r="B439" s="10" t="s">
        <v>13</v>
      </c>
      <c r="C439" s="10" t="s">
        <v>842</v>
      </c>
      <c r="D439" s="10" t="s">
        <v>843</v>
      </c>
      <c r="E439" s="10" t="s">
        <v>844</v>
      </c>
      <c r="F439" s="10">
        <v>34.4135016691</v>
      </c>
      <c r="G439" s="10">
        <v>44.926096925499998</v>
      </c>
      <c r="H439" s="11">
        <v>200</v>
      </c>
      <c r="I439" s="11">
        <v>1200</v>
      </c>
      <c r="J439" s="11"/>
      <c r="K439" s="11"/>
      <c r="L439" s="11"/>
      <c r="M439" s="11"/>
      <c r="N439" s="11"/>
      <c r="O439" s="11">
        <v>200</v>
      </c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>
        <v>200</v>
      </c>
      <c r="AL439" s="11"/>
      <c r="AM439" s="11"/>
      <c r="AN439" s="11"/>
      <c r="AO439" s="11"/>
      <c r="AP439" s="11">
        <v>200</v>
      </c>
      <c r="AQ439" s="11"/>
      <c r="AR439" s="11"/>
      <c r="AS439" s="11"/>
      <c r="AT439" s="11"/>
      <c r="AU439" s="20" t="str">
        <f>HYPERLINK("http://www.openstreetmap.org/?mlat=34.4135&amp;mlon=44.9261&amp;zoom=12#map=12/34.4135/44.9261","Maplink1")</f>
        <v>Maplink1</v>
      </c>
      <c r="AV439" s="20" t="str">
        <f>HYPERLINK("https://www.google.iq/maps/search/+34.4135,44.9261/@34.4135,44.9261,14z?hl=en","Maplink2")</f>
        <v>Maplink2</v>
      </c>
      <c r="AW439" s="20" t="str">
        <f>HYPERLINK("http://www.bing.com/maps/?lvl=14&amp;sty=h&amp;cp=34.4135~44.9261&amp;sp=point.34.4135_44.9261","Maplink3")</f>
        <v>Maplink3</v>
      </c>
    </row>
    <row r="440" spans="1:49" x14ac:dyDescent="0.25">
      <c r="A440" s="9">
        <v>11912</v>
      </c>
      <c r="B440" s="10" t="s">
        <v>14</v>
      </c>
      <c r="C440" s="10" t="s">
        <v>845</v>
      </c>
      <c r="D440" s="10" t="s">
        <v>846</v>
      </c>
      <c r="E440" s="10" t="s">
        <v>847</v>
      </c>
      <c r="F440" s="10">
        <v>36.110557999999997</v>
      </c>
      <c r="G440" s="10">
        <v>43.558101000000001</v>
      </c>
      <c r="H440" s="11">
        <v>775</v>
      </c>
      <c r="I440" s="11">
        <v>4650</v>
      </c>
      <c r="J440" s="11"/>
      <c r="K440" s="11"/>
      <c r="L440" s="11"/>
      <c r="M440" s="11"/>
      <c r="N440" s="11"/>
      <c r="O440" s="11"/>
      <c r="P440" s="11">
        <v>675</v>
      </c>
      <c r="Q440" s="11"/>
      <c r="R440" s="11">
        <v>100</v>
      </c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>
        <v>775</v>
      </c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>
        <v>495</v>
      </c>
      <c r="AP440" s="11"/>
      <c r="AQ440" s="11"/>
      <c r="AR440" s="11"/>
      <c r="AS440" s="11"/>
      <c r="AT440" s="11">
        <v>280</v>
      </c>
      <c r="AU440" s="20" t="str">
        <f>HYPERLINK("http://www.openstreetmap.org/?mlat=36.1106&amp;mlon=43.5581&amp;zoom=12#map=12/36.1106/43.5581","Maplink1")</f>
        <v>Maplink1</v>
      </c>
      <c r="AV440" s="20" t="str">
        <f>HYPERLINK("https://www.google.iq/maps/search/+36.1106,43.5581/@36.1106,43.5581,14z?hl=en","Maplink2")</f>
        <v>Maplink2</v>
      </c>
      <c r="AW440" s="20" t="str">
        <f>HYPERLINK("http://www.bing.com/maps/?lvl=14&amp;sty=h&amp;cp=36.1106~43.5581&amp;sp=point.36.1106_43.5581","Maplink3")</f>
        <v>Maplink3</v>
      </c>
    </row>
    <row r="441" spans="1:49" x14ac:dyDescent="0.25">
      <c r="A441" s="9">
        <v>29522</v>
      </c>
      <c r="B441" s="10" t="s">
        <v>14</v>
      </c>
      <c r="C441" s="10" t="s">
        <v>845</v>
      </c>
      <c r="D441" s="10" t="s">
        <v>848</v>
      </c>
      <c r="E441" s="10" t="s">
        <v>849</v>
      </c>
      <c r="F441" s="10">
        <v>35.780508240000003</v>
      </c>
      <c r="G441" s="10">
        <v>43.594056129999998</v>
      </c>
      <c r="H441" s="11">
        <v>74</v>
      </c>
      <c r="I441" s="11">
        <v>444</v>
      </c>
      <c r="J441" s="11"/>
      <c r="K441" s="11"/>
      <c r="L441" s="11"/>
      <c r="M441" s="11"/>
      <c r="N441" s="11"/>
      <c r="O441" s="11"/>
      <c r="P441" s="11">
        <v>74</v>
      </c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>
        <v>74</v>
      </c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>
        <v>16</v>
      </c>
      <c r="AP441" s="11"/>
      <c r="AQ441" s="11"/>
      <c r="AR441" s="11"/>
      <c r="AS441" s="11"/>
      <c r="AT441" s="11">
        <v>58</v>
      </c>
      <c r="AU441" s="20" t="str">
        <f>HYPERLINK("http://www.openstreetmap.org/?mlat=35.7805&amp;mlon=43.5941&amp;zoom=12#map=12/35.7805/43.5941","Maplink1")</f>
        <v>Maplink1</v>
      </c>
      <c r="AV441" s="20" t="str">
        <f>HYPERLINK("https://www.google.iq/maps/search/+35.7805,43.5941/@35.7805,43.5941,14z?hl=en","Maplink2")</f>
        <v>Maplink2</v>
      </c>
      <c r="AW441" s="20" t="str">
        <f>HYPERLINK("http://www.bing.com/maps/?lvl=14&amp;sty=h&amp;cp=35.7805~43.5941&amp;sp=point.35.7805_43.5941","Maplink3")</f>
        <v>Maplink3</v>
      </c>
    </row>
    <row r="442" spans="1:49" x14ac:dyDescent="0.25">
      <c r="A442" s="9">
        <v>13500</v>
      </c>
      <c r="B442" s="10" t="s">
        <v>14</v>
      </c>
      <c r="C442" s="10" t="s">
        <v>845</v>
      </c>
      <c r="D442" s="10" t="s">
        <v>850</v>
      </c>
      <c r="E442" s="10" t="s">
        <v>851</v>
      </c>
      <c r="F442" s="10">
        <v>35.776267070000003</v>
      </c>
      <c r="G442" s="10">
        <v>43.582733640000001</v>
      </c>
      <c r="H442" s="11">
        <v>247</v>
      </c>
      <c r="I442" s="11">
        <v>1482</v>
      </c>
      <c r="J442" s="11"/>
      <c r="K442" s="11"/>
      <c r="L442" s="11"/>
      <c r="M442" s="11"/>
      <c r="N442" s="11"/>
      <c r="O442" s="11"/>
      <c r="P442" s="11">
        <v>247</v>
      </c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>
        <v>247</v>
      </c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>
        <v>55</v>
      </c>
      <c r="AP442" s="11"/>
      <c r="AQ442" s="11"/>
      <c r="AR442" s="11"/>
      <c r="AS442" s="11"/>
      <c r="AT442" s="11">
        <v>192</v>
      </c>
      <c r="AU442" s="20" t="str">
        <f>HYPERLINK("http://www.openstreetmap.org/?mlat=35.7763&amp;mlon=43.5827&amp;zoom=12#map=12/35.7763/43.5827","Maplink1")</f>
        <v>Maplink1</v>
      </c>
      <c r="AV442" s="20" t="str">
        <f>HYPERLINK("https://www.google.iq/maps/search/+35.7763,43.5827/@35.7763,43.5827,14z?hl=en","Maplink2")</f>
        <v>Maplink2</v>
      </c>
      <c r="AW442" s="20" t="str">
        <f>HYPERLINK("http://www.bing.com/maps/?lvl=14&amp;sty=h&amp;cp=35.7763~43.5827&amp;sp=point.35.7763_43.5827","Maplink3")</f>
        <v>Maplink3</v>
      </c>
    </row>
    <row r="443" spans="1:49" x14ac:dyDescent="0.25">
      <c r="A443" s="9">
        <v>13278</v>
      </c>
      <c r="B443" s="10" t="s">
        <v>14</v>
      </c>
      <c r="C443" s="10" t="s">
        <v>845</v>
      </c>
      <c r="D443" s="10" t="s">
        <v>852</v>
      </c>
      <c r="E443" s="10" t="s">
        <v>853</v>
      </c>
      <c r="F443" s="10">
        <v>35.826799999999999</v>
      </c>
      <c r="G443" s="10">
        <v>43.3887</v>
      </c>
      <c r="H443" s="11">
        <v>84</v>
      </c>
      <c r="I443" s="11">
        <v>504</v>
      </c>
      <c r="J443" s="11"/>
      <c r="K443" s="11"/>
      <c r="L443" s="11"/>
      <c r="M443" s="11"/>
      <c r="N443" s="11"/>
      <c r="O443" s="11"/>
      <c r="P443" s="11">
        <v>84</v>
      </c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>
        <v>84</v>
      </c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>
        <v>14</v>
      </c>
      <c r="AO443" s="11"/>
      <c r="AP443" s="11"/>
      <c r="AQ443" s="11"/>
      <c r="AR443" s="11"/>
      <c r="AS443" s="11"/>
      <c r="AT443" s="11">
        <v>70</v>
      </c>
      <c r="AU443" s="20" t="str">
        <f>HYPERLINK("http://www.openstreetmap.org/?mlat=35.8268&amp;mlon=43.3887&amp;zoom=12#map=12/35.8268/43.3887","Maplink1")</f>
        <v>Maplink1</v>
      </c>
      <c r="AV443" s="20" t="str">
        <f>HYPERLINK("https://www.google.iq/maps/search/+35.8268,43.3887/@35.8268,43.3887,14z?hl=en","Maplink2")</f>
        <v>Maplink2</v>
      </c>
      <c r="AW443" s="20" t="str">
        <f>HYPERLINK("http://www.bing.com/maps/?lvl=14&amp;sty=h&amp;cp=35.8268~43.3887&amp;sp=point.35.8268_43.3887","Maplink3")</f>
        <v>Maplink3</v>
      </c>
    </row>
    <row r="444" spans="1:49" x14ac:dyDescent="0.25">
      <c r="A444" s="9">
        <v>13357</v>
      </c>
      <c r="B444" s="10" t="s">
        <v>14</v>
      </c>
      <c r="C444" s="10" t="s">
        <v>845</v>
      </c>
      <c r="D444" s="10" t="s">
        <v>854</v>
      </c>
      <c r="E444" s="10" t="s">
        <v>855</v>
      </c>
      <c r="F444" s="10">
        <v>35.856200000000001</v>
      </c>
      <c r="G444" s="10">
        <v>43.378999999999998</v>
      </c>
      <c r="H444" s="11">
        <v>126</v>
      </c>
      <c r="I444" s="11">
        <v>756</v>
      </c>
      <c r="J444" s="11"/>
      <c r="K444" s="11"/>
      <c r="L444" s="11"/>
      <c r="M444" s="11"/>
      <c r="N444" s="11"/>
      <c r="O444" s="11"/>
      <c r="P444" s="11">
        <v>126</v>
      </c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>
        <v>126</v>
      </c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>
        <v>28</v>
      </c>
      <c r="AO444" s="11"/>
      <c r="AP444" s="11"/>
      <c r="AQ444" s="11"/>
      <c r="AR444" s="11"/>
      <c r="AS444" s="11"/>
      <c r="AT444" s="11">
        <v>98</v>
      </c>
      <c r="AU444" s="20" t="str">
        <f>HYPERLINK("http://www.openstreetmap.org/?mlat=35.8562&amp;mlon=43.379&amp;zoom=12#map=12/35.8562/43.379","Maplink1")</f>
        <v>Maplink1</v>
      </c>
      <c r="AV444" s="20" t="str">
        <f>HYPERLINK("https://www.google.iq/maps/search/+35.8562,43.379/@35.8562,43.379,14z?hl=en","Maplink2")</f>
        <v>Maplink2</v>
      </c>
      <c r="AW444" s="20" t="str">
        <f>HYPERLINK("http://www.bing.com/maps/?lvl=14&amp;sty=h&amp;cp=35.8562~43.379&amp;sp=point.35.8562_43.379","Maplink3")</f>
        <v>Maplink3</v>
      </c>
    </row>
    <row r="445" spans="1:49" s="19" customFormat="1" x14ac:dyDescent="0.25">
      <c r="A445" s="9">
        <v>13502</v>
      </c>
      <c r="B445" s="10" t="s">
        <v>14</v>
      </c>
      <c r="C445" s="10" t="s">
        <v>845</v>
      </c>
      <c r="D445" s="10" t="s">
        <v>856</v>
      </c>
      <c r="E445" s="10" t="s">
        <v>857</v>
      </c>
      <c r="F445" s="10">
        <v>35.777571080000001</v>
      </c>
      <c r="G445" s="10">
        <v>43.575704250000001</v>
      </c>
      <c r="H445" s="11">
        <v>228</v>
      </c>
      <c r="I445" s="11">
        <v>1368</v>
      </c>
      <c r="J445" s="11"/>
      <c r="K445" s="11"/>
      <c r="L445" s="11"/>
      <c r="M445" s="11"/>
      <c r="N445" s="11"/>
      <c r="O445" s="11"/>
      <c r="P445" s="11">
        <v>228</v>
      </c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>
        <v>228</v>
      </c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>
        <v>49</v>
      </c>
      <c r="AP445" s="11"/>
      <c r="AQ445" s="11"/>
      <c r="AR445" s="11"/>
      <c r="AS445" s="11"/>
      <c r="AT445" s="11">
        <v>179</v>
      </c>
      <c r="AU445" s="20" t="str">
        <f>HYPERLINK("http://www.openstreetmap.org/?mlat=35.7776&amp;mlon=43.5757&amp;zoom=12#map=12/35.7776/43.5757","Maplink1")</f>
        <v>Maplink1</v>
      </c>
      <c r="AV445" s="20" t="str">
        <f>HYPERLINK("https://www.google.iq/maps/search/+35.7776,43.5757/@35.7776,43.5757,14z?hl=en","Maplink2")</f>
        <v>Maplink2</v>
      </c>
      <c r="AW445" s="20" t="str">
        <f>HYPERLINK("http://www.bing.com/maps/?lvl=14&amp;sty=h&amp;cp=35.7776~43.5757&amp;sp=point.35.7776_43.5757","Maplink3")</f>
        <v>Maplink3</v>
      </c>
    </row>
    <row r="446" spans="1:49" s="19" customFormat="1" x14ac:dyDescent="0.25">
      <c r="A446" s="9">
        <v>12519</v>
      </c>
      <c r="B446" s="10" t="s">
        <v>14</v>
      </c>
      <c r="C446" s="10" t="s">
        <v>845</v>
      </c>
      <c r="D446" s="10" t="s">
        <v>858</v>
      </c>
      <c r="E446" s="10" t="s">
        <v>859</v>
      </c>
      <c r="F446" s="10">
        <v>35.762749847999999</v>
      </c>
      <c r="G446" s="10">
        <v>43.401144596100004</v>
      </c>
      <c r="H446" s="11">
        <v>27</v>
      </c>
      <c r="I446" s="11">
        <v>162</v>
      </c>
      <c r="J446" s="11"/>
      <c r="K446" s="11"/>
      <c r="L446" s="11"/>
      <c r="M446" s="11"/>
      <c r="N446" s="11"/>
      <c r="O446" s="11"/>
      <c r="P446" s="11">
        <v>27</v>
      </c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>
        <v>27</v>
      </c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>
        <v>6</v>
      </c>
      <c r="AO446" s="11"/>
      <c r="AP446" s="11"/>
      <c r="AQ446" s="11"/>
      <c r="AR446" s="11"/>
      <c r="AS446" s="11"/>
      <c r="AT446" s="11">
        <v>21</v>
      </c>
      <c r="AU446" s="20" t="str">
        <f>HYPERLINK("http://www.openstreetmap.org/?mlat=35.7627&amp;mlon=43.4011&amp;zoom=12#map=12/35.7627/43.4011","Maplink1")</f>
        <v>Maplink1</v>
      </c>
      <c r="AV446" s="20" t="str">
        <f>HYPERLINK("https://www.google.iq/maps/search/+35.7627,43.4011/@35.7627,43.4011,14z?hl=en","Maplink2")</f>
        <v>Maplink2</v>
      </c>
      <c r="AW446" s="20" t="str">
        <f>HYPERLINK("http://www.bing.com/maps/?lvl=14&amp;sty=h&amp;cp=35.7627~43.4011&amp;sp=point.35.7627_43.4011","Maplink3")</f>
        <v>Maplink3</v>
      </c>
    </row>
    <row r="447" spans="1:49" s="19" customFormat="1" x14ac:dyDescent="0.25">
      <c r="A447" s="9">
        <v>13352</v>
      </c>
      <c r="B447" s="10" t="s">
        <v>14</v>
      </c>
      <c r="C447" s="10" t="s">
        <v>845</v>
      </c>
      <c r="D447" s="10" t="s">
        <v>1848</v>
      </c>
      <c r="E447" s="10" t="s">
        <v>1849</v>
      </c>
      <c r="F447" s="10">
        <v>36.043816</v>
      </c>
      <c r="G447" s="10">
        <v>43.497729999999997</v>
      </c>
      <c r="H447" s="11">
        <v>1383</v>
      </c>
      <c r="I447" s="11">
        <v>8298</v>
      </c>
      <c r="J447" s="11"/>
      <c r="K447" s="11"/>
      <c r="L447" s="11"/>
      <c r="M447" s="11"/>
      <c r="N447" s="11"/>
      <c r="O447" s="11"/>
      <c r="P447" s="11">
        <v>1183</v>
      </c>
      <c r="Q447" s="11"/>
      <c r="R447" s="11">
        <v>200</v>
      </c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>
        <v>1383</v>
      </c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>
        <v>853</v>
      </c>
      <c r="AP447" s="11"/>
      <c r="AQ447" s="11"/>
      <c r="AR447" s="11"/>
      <c r="AS447" s="11"/>
      <c r="AT447" s="11">
        <v>530</v>
      </c>
      <c r="AU447" s="20" t="str">
        <f>HYPERLINK("http://www.openstreetmap.org/?mlat=36.0438&amp;mlon=43.4977&amp;zoom=12#map=12/36.0438/43.4977","Maplink1")</f>
        <v>Maplink1</v>
      </c>
      <c r="AV447" s="20" t="str">
        <f>HYPERLINK("https://www.google.iq/maps/search/+36.0438,43.4977/@36.0438,43.4977,14z?hl=en","Maplink2")</f>
        <v>Maplink2</v>
      </c>
      <c r="AW447" s="20" t="str">
        <f>HYPERLINK("http://www.bing.com/maps/?lvl=14&amp;sty=h&amp;cp=36.0438~43.4977&amp;sp=point.36.0438_43.4977","Maplink3")</f>
        <v>Maplink3</v>
      </c>
    </row>
    <row r="448" spans="1:49" s="19" customFormat="1" x14ac:dyDescent="0.25">
      <c r="A448" s="9">
        <v>13550</v>
      </c>
      <c r="B448" s="10" t="s">
        <v>14</v>
      </c>
      <c r="C448" s="10" t="s">
        <v>845</v>
      </c>
      <c r="D448" s="10" t="s">
        <v>860</v>
      </c>
      <c r="E448" s="10" t="s">
        <v>861</v>
      </c>
      <c r="F448" s="10">
        <v>35.783299999999997</v>
      </c>
      <c r="G448" s="10">
        <v>43.352499999999999</v>
      </c>
      <c r="H448" s="11">
        <v>135</v>
      </c>
      <c r="I448" s="11">
        <v>810</v>
      </c>
      <c r="J448" s="11"/>
      <c r="K448" s="11"/>
      <c r="L448" s="11"/>
      <c r="M448" s="11"/>
      <c r="N448" s="11"/>
      <c r="O448" s="11"/>
      <c r="P448" s="11">
        <v>135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>
        <v>135</v>
      </c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>
        <v>36</v>
      </c>
      <c r="AO448" s="11"/>
      <c r="AP448" s="11"/>
      <c r="AQ448" s="11"/>
      <c r="AR448" s="11"/>
      <c r="AS448" s="11"/>
      <c r="AT448" s="11">
        <v>99</v>
      </c>
      <c r="AU448" s="20" t="str">
        <f>HYPERLINK("http://www.openstreetmap.org/?mlat=35.7833&amp;mlon=43.3525&amp;zoom=12#map=12/35.7833/43.3525","Maplink1")</f>
        <v>Maplink1</v>
      </c>
      <c r="AV448" s="20" t="str">
        <f>HYPERLINK("https://www.google.iq/maps/search/+35.7833,43.3525/@35.7833,43.3525,14z?hl=en","Maplink2")</f>
        <v>Maplink2</v>
      </c>
      <c r="AW448" s="20" t="str">
        <f>HYPERLINK("http://www.bing.com/maps/?lvl=14&amp;sty=h&amp;cp=35.7833~43.3525&amp;sp=point.35.7833_43.3525","Maplink3")</f>
        <v>Maplink3</v>
      </c>
    </row>
    <row r="449" spans="1:49" s="19" customFormat="1" x14ac:dyDescent="0.25">
      <c r="A449" s="9">
        <v>13361</v>
      </c>
      <c r="B449" s="10" t="s">
        <v>14</v>
      </c>
      <c r="C449" s="10" t="s">
        <v>845</v>
      </c>
      <c r="D449" s="10" t="s">
        <v>862</v>
      </c>
      <c r="E449" s="10" t="s">
        <v>863</v>
      </c>
      <c r="F449" s="10">
        <v>36.059150000000002</v>
      </c>
      <c r="G449" s="10">
        <v>43.507510000000003</v>
      </c>
      <c r="H449" s="11">
        <v>370</v>
      </c>
      <c r="I449" s="11">
        <v>2220</v>
      </c>
      <c r="J449" s="11"/>
      <c r="K449" s="11"/>
      <c r="L449" s="11"/>
      <c r="M449" s="11"/>
      <c r="N449" s="11"/>
      <c r="O449" s="11"/>
      <c r="P449" s="11">
        <v>270</v>
      </c>
      <c r="Q449" s="11"/>
      <c r="R449" s="11">
        <v>100</v>
      </c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>
        <v>370</v>
      </c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>
        <v>150</v>
      </c>
      <c r="AP449" s="11"/>
      <c r="AQ449" s="11"/>
      <c r="AR449" s="11"/>
      <c r="AS449" s="11"/>
      <c r="AT449" s="11">
        <v>220</v>
      </c>
      <c r="AU449" s="20" t="str">
        <f>HYPERLINK("http://www.openstreetmap.org/?mlat=36.0592&amp;mlon=43.5075&amp;zoom=12#map=12/36.0592/43.5075","Maplink1")</f>
        <v>Maplink1</v>
      </c>
      <c r="AV449" s="20" t="str">
        <f>HYPERLINK("https://www.google.iq/maps/search/+36.0592,43.5075/@36.0592,43.5075,14z?hl=en","Maplink2")</f>
        <v>Maplink2</v>
      </c>
      <c r="AW449" s="20" t="str">
        <f>HYPERLINK("http://www.bing.com/maps/?lvl=14&amp;sty=h&amp;cp=36.0592~43.5075&amp;sp=point.36.0592_43.5075","Maplink3")</f>
        <v>Maplink3</v>
      </c>
    </row>
    <row r="450" spans="1:49" s="19" customFormat="1" x14ac:dyDescent="0.25">
      <c r="A450" s="9">
        <v>12494</v>
      </c>
      <c r="B450" s="10" t="s">
        <v>14</v>
      </c>
      <c r="C450" s="10" t="s">
        <v>845</v>
      </c>
      <c r="D450" s="10" t="s">
        <v>864</v>
      </c>
      <c r="E450" s="10" t="s">
        <v>865</v>
      </c>
      <c r="F450" s="10">
        <v>35.826599102000003</v>
      </c>
      <c r="G450" s="10">
        <v>43.379307270799998</v>
      </c>
      <c r="H450" s="11">
        <v>157</v>
      </c>
      <c r="I450" s="11">
        <v>942</v>
      </c>
      <c r="J450" s="11"/>
      <c r="K450" s="11"/>
      <c r="L450" s="11"/>
      <c r="M450" s="11"/>
      <c r="N450" s="11"/>
      <c r="O450" s="11"/>
      <c r="P450" s="11">
        <v>157</v>
      </c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>
        <v>157</v>
      </c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>
        <v>35</v>
      </c>
      <c r="AO450" s="11"/>
      <c r="AP450" s="11"/>
      <c r="AQ450" s="11"/>
      <c r="AR450" s="11"/>
      <c r="AS450" s="11"/>
      <c r="AT450" s="11">
        <v>122</v>
      </c>
      <c r="AU450" s="20" t="str">
        <f>HYPERLINK("http://www.openstreetmap.org/?mlat=35.8266&amp;mlon=43.3793&amp;zoom=12#map=12/35.8266/43.3793","Maplink1")</f>
        <v>Maplink1</v>
      </c>
      <c r="AV450" s="20" t="str">
        <f>HYPERLINK("https://www.google.iq/maps/search/+35.8266,43.3793/@35.8266,43.3793,14z?hl=en","Maplink2")</f>
        <v>Maplink2</v>
      </c>
      <c r="AW450" s="20" t="str">
        <f>HYPERLINK("http://www.bing.com/maps/?lvl=14&amp;sty=h&amp;cp=35.8266~43.3793&amp;sp=point.35.8266_43.3793","Maplink3")</f>
        <v>Maplink3</v>
      </c>
    </row>
    <row r="451" spans="1:49" s="19" customFormat="1" x14ac:dyDescent="0.25">
      <c r="A451" s="9">
        <v>13501</v>
      </c>
      <c r="B451" s="10" t="s">
        <v>14</v>
      </c>
      <c r="C451" s="10" t="s">
        <v>845</v>
      </c>
      <c r="D451" s="10" t="s">
        <v>866</v>
      </c>
      <c r="E451" s="10" t="s">
        <v>867</v>
      </c>
      <c r="F451" s="10">
        <v>35.767175770000001</v>
      </c>
      <c r="G451" s="10">
        <v>43.577763150000003</v>
      </c>
      <c r="H451" s="11">
        <v>161</v>
      </c>
      <c r="I451" s="11">
        <v>966</v>
      </c>
      <c r="J451" s="11"/>
      <c r="K451" s="11"/>
      <c r="L451" s="11"/>
      <c r="M451" s="11"/>
      <c r="N451" s="11"/>
      <c r="O451" s="11"/>
      <c r="P451" s="11">
        <v>161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>
        <v>161</v>
      </c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>
        <v>58</v>
      </c>
      <c r="AP451" s="11"/>
      <c r="AQ451" s="11"/>
      <c r="AR451" s="11"/>
      <c r="AS451" s="11"/>
      <c r="AT451" s="11">
        <v>103</v>
      </c>
      <c r="AU451" s="20" t="str">
        <f>HYPERLINK("http://www.openstreetmap.org/?mlat=35.7672&amp;mlon=43.5778&amp;zoom=12#map=12/35.7672/43.5778","Maplink1")</f>
        <v>Maplink1</v>
      </c>
      <c r="AV451" s="20" t="str">
        <f>HYPERLINK("https://www.google.iq/maps/search/+35.7672,43.5778/@35.7672,43.5778,14z?hl=en","Maplink2")</f>
        <v>Maplink2</v>
      </c>
      <c r="AW451" s="20" t="str">
        <f>HYPERLINK("http://www.bing.com/maps/?lvl=14&amp;sty=h&amp;cp=35.7672~43.5778&amp;sp=point.35.7672_43.5778","Maplink3")</f>
        <v>Maplink3</v>
      </c>
    </row>
    <row r="452" spans="1:49" s="19" customFormat="1" x14ac:dyDescent="0.25">
      <c r="A452" s="9">
        <v>12531</v>
      </c>
      <c r="B452" s="10" t="s">
        <v>14</v>
      </c>
      <c r="C452" s="10" t="s">
        <v>845</v>
      </c>
      <c r="D452" s="10" t="s">
        <v>868</v>
      </c>
      <c r="E452" s="10" t="s">
        <v>869</v>
      </c>
      <c r="F452" s="10">
        <v>35.769199999999998</v>
      </c>
      <c r="G452" s="10">
        <v>43.363999999999997</v>
      </c>
      <c r="H452" s="11">
        <v>171</v>
      </c>
      <c r="I452" s="11">
        <v>1026</v>
      </c>
      <c r="J452" s="11"/>
      <c r="K452" s="11"/>
      <c r="L452" s="11"/>
      <c r="M452" s="11"/>
      <c r="N452" s="11"/>
      <c r="O452" s="11"/>
      <c r="P452" s="11">
        <v>171</v>
      </c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>
        <v>171</v>
      </c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>
        <v>38</v>
      </c>
      <c r="AO452" s="11"/>
      <c r="AP452" s="11"/>
      <c r="AQ452" s="11"/>
      <c r="AR452" s="11"/>
      <c r="AS452" s="11"/>
      <c r="AT452" s="11">
        <v>133</v>
      </c>
      <c r="AU452" s="20" t="str">
        <f>HYPERLINK("http://www.openstreetmap.org/?mlat=35.7692&amp;mlon=43.364&amp;zoom=12#map=12/35.7692/43.364","Maplink1")</f>
        <v>Maplink1</v>
      </c>
      <c r="AV452" s="20" t="str">
        <f>HYPERLINK("https://www.google.iq/maps/search/+35.7692,43.364/@35.7692,43.364,14z?hl=en","Maplink2")</f>
        <v>Maplink2</v>
      </c>
      <c r="AW452" s="20" t="str">
        <f>HYPERLINK("http://www.bing.com/maps/?lvl=14&amp;sty=h&amp;cp=35.7692~43.364&amp;sp=point.35.7692_43.364","Maplink3")</f>
        <v>Maplink3</v>
      </c>
    </row>
    <row r="453" spans="1:49" s="19" customFormat="1" x14ac:dyDescent="0.25">
      <c r="A453" s="9">
        <v>22976</v>
      </c>
      <c r="B453" s="10" t="s">
        <v>14</v>
      </c>
      <c r="C453" s="10" t="s">
        <v>845</v>
      </c>
      <c r="D453" s="10" t="s">
        <v>870</v>
      </c>
      <c r="E453" s="10" t="s">
        <v>871</v>
      </c>
      <c r="F453" s="10">
        <v>35.777312680000001</v>
      </c>
      <c r="G453" s="10">
        <v>43.57313731</v>
      </c>
      <c r="H453" s="11">
        <v>265</v>
      </c>
      <c r="I453" s="11">
        <v>1590</v>
      </c>
      <c r="J453" s="11"/>
      <c r="K453" s="11"/>
      <c r="L453" s="11"/>
      <c r="M453" s="11"/>
      <c r="N453" s="11"/>
      <c r="O453" s="11"/>
      <c r="P453" s="11">
        <v>265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>
        <v>265</v>
      </c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>
        <v>81</v>
      </c>
      <c r="AP453" s="11"/>
      <c r="AQ453" s="11"/>
      <c r="AR453" s="11"/>
      <c r="AS453" s="11"/>
      <c r="AT453" s="11">
        <v>184</v>
      </c>
      <c r="AU453" s="20" t="str">
        <f>HYPERLINK("http://www.openstreetmap.org/?mlat=35.7773&amp;mlon=43.5731&amp;zoom=12#map=12/35.7773/43.5731","Maplink1")</f>
        <v>Maplink1</v>
      </c>
      <c r="AV453" s="20" t="str">
        <f>HYPERLINK("https://www.google.iq/maps/search/+35.7773,43.5731/@35.7773,43.5731,14z?hl=en","Maplink2")</f>
        <v>Maplink2</v>
      </c>
      <c r="AW453" s="20" t="str">
        <f>HYPERLINK("http://www.bing.com/maps/?lvl=14&amp;sty=h&amp;cp=35.7773~43.5731&amp;sp=point.35.7773_43.5731","Maplink3")</f>
        <v>Maplink3</v>
      </c>
    </row>
    <row r="454" spans="1:49" s="19" customFormat="1" x14ac:dyDescent="0.25">
      <c r="A454" s="9">
        <v>13561</v>
      </c>
      <c r="B454" s="10" t="s">
        <v>14</v>
      </c>
      <c r="C454" s="10" t="s">
        <v>845</v>
      </c>
      <c r="D454" s="10" t="s">
        <v>872</v>
      </c>
      <c r="E454" s="10" t="s">
        <v>873</v>
      </c>
      <c r="F454" s="10">
        <v>35.835299999999997</v>
      </c>
      <c r="G454" s="10">
        <v>43.344799999999999</v>
      </c>
      <c r="H454" s="11">
        <v>243</v>
      </c>
      <c r="I454" s="11">
        <v>1458</v>
      </c>
      <c r="J454" s="11"/>
      <c r="K454" s="11"/>
      <c r="L454" s="11"/>
      <c r="M454" s="11"/>
      <c r="N454" s="11"/>
      <c r="O454" s="11"/>
      <c r="P454" s="11">
        <v>243</v>
      </c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>
        <v>243</v>
      </c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>
        <v>54</v>
      </c>
      <c r="AO454" s="11"/>
      <c r="AP454" s="11"/>
      <c r="AQ454" s="11"/>
      <c r="AR454" s="11"/>
      <c r="AS454" s="11"/>
      <c r="AT454" s="11">
        <v>189</v>
      </c>
      <c r="AU454" s="20" t="str">
        <f>HYPERLINK("http://www.openstreetmap.org/?mlat=35.8353&amp;mlon=43.3448&amp;zoom=12#map=12/35.8353/43.3448","Maplink1")</f>
        <v>Maplink1</v>
      </c>
      <c r="AV454" s="20" t="str">
        <f>HYPERLINK("https://www.google.iq/maps/search/+35.8353,43.3448/@35.8353,43.3448,14z?hl=en","Maplink2")</f>
        <v>Maplink2</v>
      </c>
      <c r="AW454" s="20" t="str">
        <f>HYPERLINK("http://www.bing.com/maps/?lvl=14&amp;sty=h&amp;cp=35.8353~43.3448&amp;sp=point.35.8353_43.3448","Maplink3")</f>
        <v>Maplink3</v>
      </c>
    </row>
    <row r="455" spans="1:49" s="19" customFormat="1" x14ac:dyDescent="0.25">
      <c r="A455" s="9">
        <v>13275</v>
      </c>
      <c r="B455" s="10" t="s">
        <v>14</v>
      </c>
      <c r="C455" s="10" t="s">
        <v>845</v>
      </c>
      <c r="D455" s="10" t="s">
        <v>874</v>
      </c>
      <c r="E455" s="10" t="s">
        <v>875</v>
      </c>
      <c r="F455" s="10">
        <v>35.833599999999997</v>
      </c>
      <c r="G455" s="10">
        <v>43.390999999999998</v>
      </c>
      <c r="H455" s="11">
        <v>171</v>
      </c>
      <c r="I455" s="11">
        <v>1026</v>
      </c>
      <c r="J455" s="11"/>
      <c r="K455" s="11"/>
      <c r="L455" s="11"/>
      <c r="M455" s="11"/>
      <c r="N455" s="11"/>
      <c r="O455" s="11"/>
      <c r="P455" s="11">
        <v>171</v>
      </c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>
        <v>171</v>
      </c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>
        <v>38</v>
      </c>
      <c r="AO455" s="11"/>
      <c r="AP455" s="11"/>
      <c r="AQ455" s="11"/>
      <c r="AR455" s="11"/>
      <c r="AS455" s="11"/>
      <c r="AT455" s="11">
        <v>133</v>
      </c>
      <c r="AU455" s="20" t="str">
        <f>HYPERLINK("http://www.openstreetmap.org/?mlat=35.8336&amp;mlon=43.391&amp;zoom=12#map=12/35.8336/43.391","Maplink1")</f>
        <v>Maplink1</v>
      </c>
      <c r="AV455" s="20" t="str">
        <f>HYPERLINK("https://www.google.iq/maps/search/+35.8336,43.391/@35.8336,43.391,14z?hl=en","Maplink2")</f>
        <v>Maplink2</v>
      </c>
      <c r="AW455" s="20" t="str">
        <f>HYPERLINK("http://www.bing.com/maps/?lvl=14&amp;sty=h&amp;cp=35.8336~43.391&amp;sp=point.35.8336_43.391","Maplink3")</f>
        <v>Maplink3</v>
      </c>
    </row>
    <row r="456" spans="1:49" x14ac:dyDescent="0.25">
      <c r="A456" s="9">
        <v>27244</v>
      </c>
      <c r="B456" s="10" t="s">
        <v>14</v>
      </c>
      <c r="C456" s="10" t="s">
        <v>845</v>
      </c>
      <c r="D456" s="10" t="s">
        <v>876</v>
      </c>
      <c r="E456" s="10" t="s">
        <v>877</v>
      </c>
      <c r="F456" s="10">
        <v>35.775451429999997</v>
      </c>
      <c r="G456" s="10">
        <v>43.578466380000002</v>
      </c>
      <c r="H456" s="11">
        <v>486</v>
      </c>
      <c r="I456" s="11">
        <v>2916</v>
      </c>
      <c r="J456" s="11"/>
      <c r="K456" s="11"/>
      <c r="L456" s="11"/>
      <c r="M456" s="11"/>
      <c r="N456" s="11"/>
      <c r="O456" s="11"/>
      <c r="P456" s="11">
        <v>486</v>
      </c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>
        <v>486</v>
      </c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>
        <v>48</v>
      </c>
      <c r="AP456" s="11"/>
      <c r="AQ456" s="11"/>
      <c r="AR456" s="11"/>
      <c r="AS456" s="11"/>
      <c r="AT456" s="11">
        <v>438</v>
      </c>
      <c r="AU456" s="20" t="str">
        <f>HYPERLINK("http://www.openstreetmap.org/?mlat=35.7755&amp;mlon=43.5785&amp;zoom=12#map=12/35.7755/43.5785","Maplink1")</f>
        <v>Maplink1</v>
      </c>
      <c r="AV456" s="20" t="str">
        <f>HYPERLINK("https://www.google.iq/maps/search/+35.7755,43.5785/@35.7755,43.5785,14z?hl=en","Maplink2")</f>
        <v>Maplink2</v>
      </c>
      <c r="AW456" s="20" t="str">
        <f>HYPERLINK("http://www.bing.com/maps/?lvl=14&amp;sty=h&amp;cp=35.7755~43.5785&amp;sp=point.35.7755_43.5785","Maplink3")</f>
        <v>Maplink3</v>
      </c>
    </row>
    <row r="457" spans="1:49" x14ac:dyDescent="0.25">
      <c r="A457" s="9">
        <v>13674</v>
      </c>
      <c r="B457" s="10" t="s">
        <v>14</v>
      </c>
      <c r="C457" s="10" t="s">
        <v>845</v>
      </c>
      <c r="D457" s="10" t="s">
        <v>878</v>
      </c>
      <c r="E457" s="10" t="s">
        <v>879</v>
      </c>
      <c r="F457" s="10">
        <v>35.780755890000002</v>
      </c>
      <c r="G457" s="10">
        <v>43.585042340000001</v>
      </c>
      <c r="H457" s="11">
        <v>420</v>
      </c>
      <c r="I457" s="11">
        <v>2520</v>
      </c>
      <c r="J457" s="11"/>
      <c r="K457" s="11"/>
      <c r="L457" s="11"/>
      <c r="M457" s="11"/>
      <c r="N457" s="11"/>
      <c r="O457" s="11"/>
      <c r="P457" s="11">
        <v>420</v>
      </c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>
        <v>420</v>
      </c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>
        <v>109</v>
      </c>
      <c r="AP457" s="11"/>
      <c r="AQ457" s="11"/>
      <c r="AR457" s="11"/>
      <c r="AS457" s="11"/>
      <c r="AT457" s="11">
        <v>311</v>
      </c>
      <c r="AU457" s="20" t="str">
        <f>HYPERLINK("http://www.openstreetmap.org/?mlat=35.7808&amp;mlon=43.585&amp;zoom=12#map=12/35.7808/43.585","Maplink1")</f>
        <v>Maplink1</v>
      </c>
      <c r="AV457" s="20" t="str">
        <f>HYPERLINK("https://www.google.iq/maps/search/+35.7808,43.585/@35.7808,43.585,14z?hl=en","Maplink2")</f>
        <v>Maplink2</v>
      </c>
      <c r="AW457" s="20" t="str">
        <f>HYPERLINK("http://www.bing.com/maps/?lvl=14&amp;sty=h&amp;cp=35.7808~43.585&amp;sp=point.35.7808_43.585","Maplink3")</f>
        <v>Maplink3</v>
      </c>
    </row>
    <row r="458" spans="1:49" x14ac:dyDescent="0.25">
      <c r="A458" s="9">
        <v>13675</v>
      </c>
      <c r="B458" s="10" t="s">
        <v>14</v>
      </c>
      <c r="C458" s="10" t="s">
        <v>845</v>
      </c>
      <c r="D458" s="10" t="s">
        <v>880</v>
      </c>
      <c r="E458" s="10" t="s">
        <v>881</v>
      </c>
      <c r="F458" s="10">
        <v>35.775642910000002</v>
      </c>
      <c r="G458" s="10">
        <v>43.580938779999997</v>
      </c>
      <c r="H458" s="11">
        <v>312</v>
      </c>
      <c r="I458" s="11">
        <v>1872</v>
      </c>
      <c r="J458" s="11"/>
      <c r="K458" s="11"/>
      <c r="L458" s="11"/>
      <c r="M458" s="11"/>
      <c r="N458" s="11"/>
      <c r="O458" s="11"/>
      <c r="P458" s="11">
        <v>312</v>
      </c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>
        <v>312</v>
      </c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>
        <v>136</v>
      </c>
      <c r="AP458" s="11"/>
      <c r="AQ458" s="11"/>
      <c r="AR458" s="11"/>
      <c r="AS458" s="11"/>
      <c r="AT458" s="11">
        <v>176</v>
      </c>
      <c r="AU458" s="20" t="str">
        <f>HYPERLINK("http://www.openstreetmap.org/?mlat=35.7756&amp;mlon=43.5809&amp;zoom=12#map=12/35.7756/43.5809","Maplink1")</f>
        <v>Maplink1</v>
      </c>
      <c r="AV458" s="20" t="str">
        <f>HYPERLINK("https://www.google.iq/maps/search/+35.7756,43.5809/@35.7756,43.5809,14z?hl=en","Maplink2")</f>
        <v>Maplink2</v>
      </c>
      <c r="AW458" s="20" t="str">
        <f>HYPERLINK("http://www.bing.com/maps/?lvl=14&amp;sty=h&amp;cp=35.7756~43.5809&amp;sp=point.35.7756_43.5809","Maplink3")</f>
        <v>Maplink3</v>
      </c>
    </row>
    <row r="459" spans="1:49" x14ac:dyDescent="0.25">
      <c r="A459" s="9">
        <v>15308</v>
      </c>
      <c r="B459" s="10" t="s">
        <v>16</v>
      </c>
      <c r="C459" s="10" t="s">
        <v>882</v>
      </c>
      <c r="D459" s="10" t="s">
        <v>1700</v>
      </c>
      <c r="E459" s="10" t="s">
        <v>1701</v>
      </c>
      <c r="F459" s="10">
        <v>35.355870000000003</v>
      </c>
      <c r="G459" s="10">
        <v>43.728020000000001</v>
      </c>
      <c r="H459" s="11">
        <v>40</v>
      </c>
      <c r="I459" s="11">
        <v>240</v>
      </c>
      <c r="J459" s="11"/>
      <c r="K459" s="11"/>
      <c r="L459" s="11"/>
      <c r="M459" s="11"/>
      <c r="N459" s="11"/>
      <c r="O459" s="11"/>
      <c r="P459" s="11"/>
      <c r="Q459" s="11"/>
      <c r="R459" s="11">
        <v>40</v>
      </c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>
        <v>40</v>
      </c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>
        <v>10</v>
      </c>
      <c r="AS459" s="11">
        <v>20</v>
      </c>
      <c r="AT459" s="11">
        <v>10</v>
      </c>
      <c r="AU459" s="20" t="str">
        <f>HYPERLINK("http://www.openstreetmap.org/?mlat=35.3559&amp;mlon=43.728&amp;zoom=12#map=12/35.3559/43.728","Maplink1")</f>
        <v>Maplink1</v>
      </c>
      <c r="AV459" s="20" t="str">
        <f>HYPERLINK("https://www.google.iq/maps/search/+35.3559,43.728/@35.3559,43.728,14z?hl=en","Maplink2")</f>
        <v>Maplink2</v>
      </c>
      <c r="AW459" s="20" t="str">
        <f>HYPERLINK("http://www.bing.com/maps/?lvl=14&amp;sty=h&amp;cp=35.3559~43.728&amp;sp=point.35.3559_43.728","Maplink3")</f>
        <v>Maplink3</v>
      </c>
    </row>
    <row r="460" spans="1:49" x14ac:dyDescent="0.25">
      <c r="A460" s="9">
        <v>15006</v>
      </c>
      <c r="B460" s="10" t="s">
        <v>16</v>
      </c>
      <c r="C460" s="10" t="s">
        <v>882</v>
      </c>
      <c r="D460" s="10" t="s">
        <v>1702</v>
      </c>
      <c r="E460" s="10" t="s">
        <v>1473</v>
      </c>
      <c r="F460" s="10">
        <v>35.331409999999998</v>
      </c>
      <c r="G460" s="10">
        <v>43.716299999999997</v>
      </c>
      <c r="H460" s="11">
        <v>60</v>
      </c>
      <c r="I460" s="11">
        <v>360</v>
      </c>
      <c r="J460" s="11"/>
      <c r="K460" s="11"/>
      <c r="L460" s="11"/>
      <c r="M460" s="11"/>
      <c r="N460" s="11"/>
      <c r="O460" s="11"/>
      <c r="P460" s="11"/>
      <c r="Q460" s="11"/>
      <c r="R460" s="11">
        <v>50</v>
      </c>
      <c r="S460" s="11"/>
      <c r="T460" s="11"/>
      <c r="U460" s="11"/>
      <c r="V460" s="11"/>
      <c r="W460" s="11"/>
      <c r="X460" s="11">
        <v>10</v>
      </c>
      <c r="Y460" s="11"/>
      <c r="Z460" s="11"/>
      <c r="AA460" s="11"/>
      <c r="AB460" s="11"/>
      <c r="AC460" s="11">
        <v>60</v>
      </c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>
        <v>5</v>
      </c>
      <c r="AO460" s="11"/>
      <c r="AP460" s="11"/>
      <c r="AQ460" s="11">
        <v>5</v>
      </c>
      <c r="AR460" s="11">
        <v>25</v>
      </c>
      <c r="AS460" s="11">
        <v>20</v>
      </c>
      <c r="AT460" s="11">
        <v>5</v>
      </c>
      <c r="AU460" s="20" t="str">
        <f>HYPERLINK("http://www.openstreetmap.org/?mlat=35.3314&amp;mlon=43.7163&amp;zoom=12#map=12/35.3314/43.7163","Maplink1")</f>
        <v>Maplink1</v>
      </c>
      <c r="AV460" s="20" t="str">
        <f>HYPERLINK("https://www.google.iq/maps/search/+35.3314,43.7163/@35.3314,43.7163,14z?hl=en","Maplink2")</f>
        <v>Maplink2</v>
      </c>
      <c r="AW460" s="20" t="str">
        <f>HYPERLINK("http://www.bing.com/maps/?lvl=14&amp;sty=h&amp;cp=35.3314~43.7163&amp;sp=point.35.3314_43.7163","Maplink3")</f>
        <v>Maplink3</v>
      </c>
    </row>
    <row r="461" spans="1:49" x14ac:dyDescent="0.25">
      <c r="A461" s="9">
        <v>15275</v>
      </c>
      <c r="B461" s="10" t="s">
        <v>16</v>
      </c>
      <c r="C461" s="10" t="s">
        <v>882</v>
      </c>
      <c r="D461" s="10" t="s">
        <v>1601</v>
      </c>
      <c r="E461" s="10" t="s">
        <v>1602</v>
      </c>
      <c r="F461" s="10">
        <v>35.276699999999998</v>
      </c>
      <c r="G461" s="10">
        <v>43.598700000000001</v>
      </c>
      <c r="H461" s="11">
        <v>1350</v>
      </c>
      <c r="I461" s="11">
        <v>8100</v>
      </c>
      <c r="J461" s="11"/>
      <c r="K461" s="11"/>
      <c r="L461" s="11"/>
      <c r="M461" s="11"/>
      <c r="N461" s="11"/>
      <c r="O461" s="11"/>
      <c r="P461" s="11"/>
      <c r="Q461" s="11"/>
      <c r="R461" s="11">
        <v>1200</v>
      </c>
      <c r="S461" s="11"/>
      <c r="T461" s="11"/>
      <c r="U461" s="11"/>
      <c r="V461" s="11"/>
      <c r="W461" s="11"/>
      <c r="X461" s="11">
        <v>150</v>
      </c>
      <c r="Y461" s="11"/>
      <c r="Z461" s="11"/>
      <c r="AA461" s="11"/>
      <c r="AB461" s="11"/>
      <c r="AC461" s="11">
        <v>1350</v>
      </c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>
        <v>200</v>
      </c>
      <c r="AP461" s="11">
        <v>120</v>
      </c>
      <c r="AQ461" s="11">
        <v>200</v>
      </c>
      <c r="AR461" s="11">
        <v>320</v>
      </c>
      <c r="AS461" s="11">
        <v>360</v>
      </c>
      <c r="AT461" s="11">
        <v>150</v>
      </c>
      <c r="AU461" s="20" t="str">
        <f>HYPERLINK("http://www.openstreetmap.org/?mlat=35.2767&amp;mlon=43.5987&amp;zoom=12#map=12/35.2767/43.5987","Maplink1")</f>
        <v>Maplink1</v>
      </c>
      <c r="AV461" s="20" t="str">
        <f>HYPERLINK("https://www.google.iq/maps/search/+35.2767,43.5987/@35.2767,43.5987,14z?hl=en","Maplink2")</f>
        <v>Maplink2</v>
      </c>
      <c r="AW461" s="20" t="str">
        <f>HYPERLINK("http://www.bing.com/maps/?lvl=14&amp;sty=h&amp;cp=35.2767~43.5987&amp;sp=point.35.2767_43.5987","Maplink3")</f>
        <v>Maplink3</v>
      </c>
    </row>
    <row r="462" spans="1:49" x14ac:dyDescent="0.25">
      <c r="A462" s="9">
        <v>15155</v>
      </c>
      <c r="B462" s="10" t="s">
        <v>16</v>
      </c>
      <c r="C462" s="10" t="s">
        <v>882</v>
      </c>
      <c r="D462" s="10" t="s">
        <v>2084</v>
      </c>
      <c r="E462" s="10" t="s">
        <v>2085</v>
      </c>
      <c r="F462" s="10">
        <v>35.231499999999997</v>
      </c>
      <c r="G462" s="10">
        <v>43.902799999999999</v>
      </c>
      <c r="H462" s="11">
        <v>30</v>
      </c>
      <c r="I462" s="11">
        <v>180</v>
      </c>
      <c r="J462" s="11"/>
      <c r="K462" s="11"/>
      <c r="L462" s="11"/>
      <c r="M462" s="11"/>
      <c r="N462" s="11"/>
      <c r="O462" s="11"/>
      <c r="P462" s="11"/>
      <c r="Q462" s="11"/>
      <c r="R462" s="11">
        <v>30</v>
      </c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>
        <v>30</v>
      </c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>
        <v>2</v>
      </c>
      <c r="AO462" s="11"/>
      <c r="AP462" s="11">
        <v>10</v>
      </c>
      <c r="AQ462" s="11">
        <v>5</v>
      </c>
      <c r="AR462" s="11">
        <v>10</v>
      </c>
      <c r="AS462" s="11"/>
      <c r="AT462" s="11">
        <v>3</v>
      </c>
      <c r="AU462" s="20" t="str">
        <f>HYPERLINK("http://www.openstreetmap.org/?mlat=35.2315&amp;mlon=43.9028&amp;zoom=12#map=12/35.2315/43.9028","Maplink1")</f>
        <v>Maplink1</v>
      </c>
      <c r="AV462" s="20" t="str">
        <f>HYPERLINK("https://www.google.iq/maps/search/+35.2315,43.9028/@35.2315,43.9028,14z?hl=en","Maplink2")</f>
        <v>Maplink2</v>
      </c>
      <c r="AW462" s="20" t="str">
        <f>HYPERLINK("http://www.bing.com/maps/?lvl=14&amp;sty=h&amp;cp=35.2315~43.9028&amp;sp=point.35.2315_43.9028","Maplink3")</f>
        <v>Maplink3</v>
      </c>
    </row>
    <row r="463" spans="1:49" x14ac:dyDescent="0.25">
      <c r="A463" s="9">
        <v>14820</v>
      </c>
      <c r="B463" s="10" t="s">
        <v>16</v>
      </c>
      <c r="C463" s="10" t="s">
        <v>882</v>
      </c>
      <c r="D463" s="10" t="s">
        <v>1850</v>
      </c>
      <c r="E463" s="10" t="s">
        <v>1851</v>
      </c>
      <c r="F463" s="10">
        <v>35.387340000000002</v>
      </c>
      <c r="G463" s="10">
        <v>43.920929999999998</v>
      </c>
      <c r="H463" s="11">
        <v>400</v>
      </c>
      <c r="I463" s="11">
        <v>2400</v>
      </c>
      <c r="J463" s="11"/>
      <c r="K463" s="11"/>
      <c r="L463" s="11"/>
      <c r="M463" s="11"/>
      <c r="N463" s="11"/>
      <c r="O463" s="11"/>
      <c r="P463" s="11"/>
      <c r="Q463" s="11"/>
      <c r="R463" s="11">
        <v>400</v>
      </c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>
        <v>400</v>
      </c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>
        <v>50</v>
      </c>
      <c r="AQ463" s="11">
        <v>80</v>
      </c>
      <c r="AR463" s="11">
        <v>90</v>
      </c>
      <c r="AS463" s="11">
        <v>110</v>
      </c>
      <c r="AT463" s="11">
        <v>70</v>
      </c>
      <c r="AU463" s="20" t="str">
        <f>HYPERLINK("http://www.openstreetmap.org/?mlat=35.3873&amp;mlon=43.9209&amp;zoom=12#map=12/35.3873/43.9209","Maplink1")</f>
        <v>Maplink1</v>
      </c>
      <c r="AV463" s="20" t="str">
        <f>HYPERLINK("https://www.google.iq/maps/search/+35.3873,43.9209/@35.3873,43.9209,14z?hl=en","Maplink2")</f>
        <v>Maplink2</v>
      </c>
      <c r="AW463" s="20" t="str">
        <f>HYPERLINK("http://www.bing.com/maps/?lvl=14&amp;sty=h&amp;cp=35.3873~43.9209&amp;sp=point.35.3873_43.9209","Maplink3")</f>
        <v>Maplink3</v>
      </c>
    </row>
    <row r="464" spans="1:49" x14ac:dyDescent="0.25">
      <c r="A464" s="9">
        <v>14975</v>
      </c>
      <c r="B464" s="10" t="s">
        <v>16</v>
      </c>
      <c r="C464" s="10" t="s">
        <v>882</v>
      </c>
      <c r="D464" s="10" t="s">
        <v>2086</v>
      </c>
      <c r="E464" s="10" t="s">
        <v>2087</v>
      </c>
      <c r="F464" s="10">
        <v>35.344200000000001</v>
      </c>
      <c r="G464" s="10">
        <v>43.611199999999997</v>
      </c>
      <c r="H464" s="11">
        <v>175</v>
      </c>
      <c r="I464" s="11">
        <v>1050</v>
      </c>
      <c r="J464" s="11"/>
      <c r="K464" s="11"/>
      <c r="L464" s="11"/>
      <c r="M464" s="11"/>
      <c r="N464" s="11"/>
      <c r="O464" s="11"/>
      <c r="P464" s="11"/>
      <c r="Q464" s="11"/>
      <c r="R464" s="11">
        <v>150</v>
      </c>
      <c r="S464" s="11"/>
      <c r="T464" s="11"/>
      <c r="U464" s="11"/>
      <c r="V464" s="11"/>
      <c r="W464" s="11"/>
      <c r="X464" s="11">
        <v>25</v>
      </c>
      <c r="Y464" s="11"/>
      <c r="Z464" s="11"/>
      <c r="AA464" s="11"/>
      <c r="AB464" s="11"/>
      <c r="AC464" s="11">
        <v>175</v>
      </c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>
        <v>5</v>
      </c>
      <c r="AO464" s="11">
        <v>10</v>
      </c>
      <c r="AP464" s="11">
        <v>15</v>
      </c>
      <c r="AQ464" s="11">
        <v>20</v>
      </c>
      <c r="AR464" s="11">
        <v>45</v>
      </c>
      <c r="AS464" s="11">
        <v>55</v>
      </c>
      <c r="AT464" s="11">
        <v>25</v>
      </c>
      <c r="AU464" s="20" t="str">
        <f>HYPERLINK("http://www.openstreetmap.org/?mlat=35.3442&amp;mlon=43.6112&amp;zoom=12#map=12/35.3442/43.6112","Maplink1")</f>
        <v>Maplink1</v>
      </c>
      <c r="AV464" s="20" t="str">
        <f>HYPERLINK("https://www.google.iq/maps/search/+35.3442,43.6112/@35.3442,43.6112,14z?hl=en","Maplink2")</f>
        <v>Maplink2</v>
      </c>
      <c r="AW464" s="20" t="str">
        <f>HYPERLINK("http://www.bing.com/maps/?lvl=14&amp;sty=h&amp;cp=35.3442~43.6112&amp;sp=point.35.3442_43.6112","Maplink3")</f>
        <v>Maplink3</v>
      </c>
    </row>
    <row r="465" spans="1:49" x14ac:dyDescent="0.25">
      <c r="A465" s="9">
        <v>15233</v>
      </c>
      <c r="B465" s="10" t="s">
        <v>16</v>
      </c>
      <c r="C465" s="10" t="s">
        <v>882</v>
      </c>
      <c r="D465" s="10" t="s">
        <v>1703</v>
      </c>
      <c r="E465" s="10" t="s">
        <v>1704</v>
      </c>
      <c r="F465" s="10">
        <v>35.291089999999997</v>
      </c>
      <c r="G465" s="10">
        <v>43.73357</v>
      </c>
      <c r="H465" s="11">
        <v>222</v>
      </c>
      <c r="I465" s="11">
        <v>1332</v>
      </c>
      <c r="J465" s="11"/>
      <c r="K465" s="11"/>
      <c r="L465" s="11"/>
      <c r="M465" s="11"/>
      <c r="N465" s="11"/>
      <c r="O465" s="11"/>
      <c r="P465" s="11"/>
      <c r="Q465" s="11"/>
      <c r="R465" s="11">
        <v>188</v>
      </c>
      <c r="S465" s="11"/>
      <c r="T465" s="11"/>
      <c r="U465" s="11"/>
      <c r="V465" s="11"/>
      <c r="W465" s="11"/>
      <c r="X465" s="11">
        <v>34</v>
      </c>
      <c r="Y465" s="11"/>
      <c r="Z465" s="11"/>
      <c r="AA465" s="11"/>
      <c r="AB465" s="11"/>
      <c r="AC465" s="11">
        <v>222</v>
      </c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>
        <v>30</v>
      </c>
      <c r="AP465" s="11">
        <v>40</v>
      </c>
      <c r="AQ465" s="11">
        <v>60</v>
      </c>
      <c r="AR465" s="11">
        <v>37</v>
      </c>
      <c r="AS465" s="11">
        <v>20</v>
      </c>
      <c r="AT465" s="11">
        <v>35</v>
      </c>
      <c r="AU465" s="20" t="str">
        <f>HYPERLINK("http://www.openstreetmap.org/?mlat=35.2911&amp;mlon=43.7336&amp;zoom=12#map=12/35.2911/43.7336","Maplink1")</f>
        <v>Maplink1</v>
      </c>
      <c r="AV465" s="20" t="str">
        <f>HYPERLINK("https://www.google.iq/maps/search/+35.2911,43.7336/@35.2911,43.7336,14z?hl=en","Maplink2")</f>
        <v>Maplink2</v>
      </c>
      <c r="AW465" s="20" t="str">
        <f>HYPERLINK("http://www.bing.com/maps/?lvl=14&amp;sty=h&amp;cp=35.2911~43.7336&amp;sp=point.35.2911_43.7336","Maplink3")</f>
        <v>Maplink3</v>
      </c>
    </row>
    <row r="466" spans="1:49" x14ac:dyDescent="0.25">
      <c r="A466" s="9">
        <v>15268</v>
      </c>
      <c r="B466" s="10" t="s">
        <v>16</v>
      </c>
      <c r="C466" s="10" t="s">
        <v>882</v>
      </c>
      <c r="D466" s="10" t="s">
        <v>1852</v>
      </c>
      <c r="E466" s="10" t="s">
        <v>1853</v>
      </c>
      <c r="F466" s="10">
        <v>35.325069999999997</v>
      </c>
      <c r="G466" s="10">
        <v>43.767940000000003</v>
      </c>
      <c r="H466" s="11">
        <v>500</v>
      </c>
      <c r="I466" s="11">
        <v>3000</v>
      </c>
      <c r="J466" s="11"/>
      <c r="K466" s="11"/>
      <c r="L466" s="11"/>
      <c r="M466" s="11"/>
      <c r="N466" s="11"/>
      <c r="O466" s="11"/>
      <c r="P466" s="11"/>
      <c r="Q466" s="11"/>
      <c r="R466" s="11">
        <v>500</v>
      </c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>
        <v>500</v>
      </c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>
        <v>100</v>
      </c>
      <c r="AS466" s="11">
        <v>200</v>
      </c>
      <c r="AT466" s="11">
        <v>200</v>
      </c>
      <c r="AU466" s="20" t="str">
        <f>HYPERLINK("http://www.openstreetmap.org/?mlat=35.3251&amp;mlon=43.7679&amp;zoom=12#map=12/35.3251/43.7679","Maplink1")</f>
        <v>Maplink1</v>
      </c>
      <c r="AV466" s="20" t="str">
        <f>HYPERLINK("https://www.google.iq/maps/search/+35.3251,43.7679/@35.3251,43.7679,14z?hl=en","Maplink2")</f>
        <v>Maplink2</v>
      </c>
      <c r="AW466" s="20" t="str">
        <f>HYPERLINK("http://www.bing.com/maps/?lvl=14&amp;sty=h&amp;cp=35.3251~43.7679&amp;sp=point.35.3251_43.7679","Maplink3")</f>
        <v>Maplink3</v>
      </c>
    </row>
    <row r="467" spans="1:49" x14ac:dyDescent="0.25">
      <c r="A467" s="9">
        <v>15242</v>
      </c>
      <c r="B467" s="10" t="s">
        <v>16</v>
      </c>
      <c r="C467" s="10" t="s">
        <v>882</v>
      </c>
      <c r="D467" s="10" t="s">
        <v>1854</v>
      </c>
      <c r="E467" s="10" t="s">
        <v>1855</v>
      </c>
      <c r="F467" s="10">
        <v>35.30301</v>
      </c>
      <c r="G467" s="10">
        <v>43.700859999999999</v>
      </c>
      <c r="H467" s="11">
        <v>230</v>
      </c>
      <c r="I467" s="11">
        <v>1380</v>
      </c>
      <c r="J467" s="11"/>
      <c r="K467" s="11"/>
      <c r="L467" s="11"/>
      <c r="M467" s="11"/>
      <c r="N467" s="11"/>
      <c r="O467" s="11"/>
      <c r="P467" s="11"/>
      <c r="Q467" s="11"/>
      <c r="R467" s="11">
        <v>230</v>
      </c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>
        <v>230</v>
      </c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>
        <v>20</v>
      </c>
      <c r="AP467" s="11">
        <v>25</v>
      </c>
      <c r="AQ467" s="11">
        <v>60</v>
      </c>
      <c r="AR467" s="11">
        <v>35</v>
      </c>
      <c r="AS467" s="11">
        <v>50</v>
      </c>
      <c r="AT467" s="11">
        <v>40</v>
      </c>
      <c r="AU467" s="20" t="str">
        <f>HYPERLINK("http://www.openstreetmap.org/?mlat=35.303&amp;mlon=43.7009&amp;zoom=12#map=12/35.303/43.7009","Maplink1")</f>
        <v>Maplink1</v>
      </c>
      <c r="AV467" s="20" t="str">
        <f>HYPERLINK("https://www.google.iq/maps/search/+35.303,43.7009/@35.303,43.7009,14z?hl=en","Maplink2")</f>
        <v>Maplink2</v>
      </c>
      <c r="AW467" s="20" t="str">
        <f>HYPERLINK("http://www.bing.com/maps/?lvl=14&amp;sty=h&amp;cp=35.303~43.7009&amp;sp=point.35.303_43.7009","Maplink3")</f>
        <v>Maplink3</v>
      </c>
    </row>
    <row r="468" spans="1:49" x14ac:dyDescent="0.25">
      <c r="A468" s="9">
        <v>14998</v>
      </c>
      <c r="B468" s="10" t="s">
        <v>16</v>
      </c>
      <c r="C468" s="10" t="s">
        <v>882</v>
      </c>
      <c r="D468" s="10" t="s">
        <v>1856</v>
      </c>
      <c r="E468" s="10" t="s">
        <v>1857</v>
      </c>
      <c r="F468" s="10">
        <v>35.343150999999999</v>
      </c>
      <c r="G468" s="10">
        <v>43.724463</v>
      </c>
      <c r="H468" s="11">
        <v>38</v>
      </c>
      <c r="I468" s="11">
        <v>228</v>
      </c>
      <c r="J468" s="11"/>
      <c r="K468" s="11"/>
      <c r="L468" s="11"/>
      <c r="M468" s="11"/>
      <c r="N468" s="11"/>
      <c r="O468" s="11"/>
      <c r="P468" s="11"/>
      <c r="Q468" s="11"/>
      <c r="R468" s="11">
        <v>38</v>
      </c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>
        <v>38</v>
      </c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>
        <v>5</v>
      </c>
      <c r="AS468" s="11">
        <v>20</v>
      </c>
      <c r="AT468" s="11">
        <v>13</v>
      </c>
      <c r="AU468" s="20" t="str">
        <f>HYPERLINK("http://www.openstreetmap.org/?mlat=35.3432&amp;mlon=43.7245&amp;zoom=12#map=12/35.3432/43.7245","Maplink1")</f>
        <v>Maplink1</v>
      </c>
      <c r="AV468" s="20" t="str">
        <f>HYPERLINK("https://www.google.iq/maps/search/+35.3432,43.7245/@35.3432,43.7245,14z?hl=en","Maplink2")</f>
        <v>Maplink2</v>
      </c>
      <c r="AW468" s="20" t="str">
        <f>HYPERLINK("http://www.bing.com/maps/?lvl=14&amp;sty=h&amp;cp=35.3432~43.7245&amp;sp=point.35.3432_43.7245","Maplink3")</f>
        <v>Maplink3</v>
      </c>
    </row>
    <row r="469" spans="1:49" x14ac:dyDescent="0.25">
      <c r="A469" s="9">
        <v>15393</v>
      </c>
      <c r="B469" s="10" t="s">
        <v>16</v>
      </c>
      <c r="C469" s="10" t="s">
        <v>882</v>
      </c>
      <c r="D469" s="10" t="s">
        <v>2088</v>
      </c>
      <c r="E469" s="10" t="s">
        <v>2089</v>
      </c>
      <c r="F469" s="10">
        <v>35.342399999999998</v>
      </c>
      <c r="G469" s="10">
        <v>44.006900000000002</v>
      </c>
      <c r="H469" s="11">
        <v>30</v>
      </c>
      <c r="I469" s="11">
        <v>180</v>
      </c>
      <c r="J469" s="11"/>
      <c r="K469" s="11"/>
      <c r="L469" s="11"/>
      <c r="M469" s="11"/>
      <c r="N469" s="11"/>
      <c r="O469" s="11"/>
      <c r="P469" s="11"/>
      <c r="Q469" s="11"/>
      <c r="R469" s="11">
        <v>30</v>
      </c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>
        <v>30</v>
      </c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>
        <v>10</v>
      </c>
      <c r="AO469" s="11"/>
      <c r="AP469" s="11"/>
      <c r="AQ469" s="11">
        <v>5</v>
      </c>
      <c r="AR469" s="11">
        <v>10</v>
      </c>
      <c r="AS469" s="11">
        <v>5</v>
      </c>
      <c r="AT469" s="11"/>
      <c r="AU469" s="20" t="str">
        <f>HYPERLINK("http://www.openstreetmap.org/?mlat=35.3424&amp;mlon=44.0069&amp;zoom=12#map=12/35.3424/44.0069","Maplink1")</f>
        <v>Maplink1</v>
      </c>
      <c r="AV469" s="20" t="str">
        <f>HYPERLINK("https://www.google.iq/maps/search/+35.3424,44.0069/@35.3424,44.0069,14z?hl=en","Maplink2")</f>
        <v>Maplink2</v>
      </c>
      <c r="AW469" s="20" t="str">
        <f>HYPERLINK("http://www.bing.com/maps/?lvl=14&amp;sty=h&amp;cp=35.3424~44.0069&amp;sp=point.35.3424_44.0069","Maplink3")</f>
        <v>Maplink3</v>
      </c>
    </row>
    <row r="470" spans="1:49" x14ac:dyDescent="0.25">
      <c r="A470" s="9">
        <v>15144</v>
      </c>
      <c r="B470" s="10" t="s">
        <v>16</v>
      </c>
      <c r="C470" s="10" t="s">
        <v>882</v>
      </c>
      <c r="D470" s="10" t="s">
        <v>2090</v>
      </c>
      <c r="E470" s="10" t="s">
        <v>2091</v>
      </c>
      <c r="F470" s="10">
        <v>35.213700000000003</v>
      </c>
      <c r="G470" s="10">
        <v>43.822400000000002</v>
      </c>
      <c r="H470" s="11">
        <v>38</v>
      </c>
      <c r="I470" s="11">
        <v>228</v>
      </c>
      <c r="J470" s="11"/>
      <c r="K470" s="11"/>
      <c r="L470" s="11"/>
      <c r="M470" s="11"/>
      <c r="N470" s="11"/>
      <c r="O470" s="11"/>
      <c r="P470" s="11"/>
      <c r="Q470" s="11"/>
      <c r="R470" s="11">
        <v>38</v>
      </c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>
        <v>38</v>
      </c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>
        <v>5</v>
      </c>
      <c r="AO470" s="11">
        <v>5</v>
      </c>
      <c r="AP470" s="11"/>
      <c r="AQ470" s="11">
        <v>25</v>
      </c>
      <c r="AR470" s="11">
        <v>3</v>
      </c>
      <c r="AS470" s="11"/>
      <c r="AT470" s="11"/>
      <c r="AU470" s="20" t="str">
        <f>HYPERLINK("http://www.openstreetmap.org/?mlat=35.2137&amp;mlon=43.8224&amp;zoom=12#map=12/35.2137/43.8224","Maplink1")</f>
        <v>Maplink1</v>
      </c>
      <c r="AV470" s="20" t="str">
        <f>HYPERLINK("https://www.google.iq/maps/search/+35.2137,43.8224/@35.2137,43.8224,14z?hl=en","Maplink2")</f>
        <v>Maplink2</v>
      </c>
      <c r="AW470" s="20" t="str">
        <f>HYPERLINK("http://www.bing.com/maps/?lvl=14&amp;sty=h&amp;cp=35.2137~43.8224&amp;sp=point.35.2137_43.8224","Maplink3")</f>
        <v>Maplink3</v>
      </c>
    </row>
    <row r="471" spans="1:49" x14ac:dyDescent="0.25">
      <c r="A471" s="9">
        <v>14801</v>
      </c>
      <c r="B471" s="10" t="s">
        <v>16</v>
      </c>
      <c r="C471" s="10" t="s">
        <v>882</v>
      </c>
      <c r="D471" s="10" t="s">
        <v>2092</v>
      </c>
      <c r="E471" s="10" t="s">
        <v>2093</v>
      </c>
      <c r="F471" s="10">
        <v>35.367199999999997</v>
      </c>
      <c r="G471" s="10">
        <v>43.749650000000003</v>
      </c>
      <c r="H471" s="11">
        <v>135</v>
      </c>
      <c r="I471" s="11">
        <v>810</v>
      </c>
      <c r="J471" s="11"/>
      <c r="K471" s="11"/>
      <c r="L471" s="11"/>
      <c r="M471" s="11"/>
      <c r="N471" s="11"/>
      <c r="O471" s="11"/>
      <c r="P471" s="11"/>
      <c r="Q471" s="11"/>
      <c r="R471" s="11">
        <v>125</v>
      </c>
      <c r="S471" s="11"/>
      <c r="T471" s="11"/>
      <c r="U471" s="11"/>
      <c r="V471" s="11"/>
      <c r="W471" s="11"/>
      <c r="X471" s="11">
        <v>10</v>
      </c>
      <c r="Y471" s="11"/>
      <c r="Z471" s="11"/>
      <c r="AA471" s="11"/>
      <c r="AB471" s="11"/>
      <c r="AC471" s="11">
        <v>135</v>
      </c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>
        <v>10</v>
      </c>
      <c r="AO471" s="11">
        <v>5</v>
      </c>
      <c r="AP471" s="11">
        <v>25</v>
      </c>
      <c r="AQ471" s="11">
        <v>65</v>
      </c>
      <c r="AR471" s="11"/>
      <c r="AS471" s="11">
        <v>20</v>
      </c>
      <c r="AT471" s="11">
        <v>10</v>
      </c>
      <c r="AU471" s="20" t="str">
        <f>HYPERLINK("http://www.openstreetmap.org/?mlat=35.3672&amp;mlon=43.7497&amp;zoom=12#map=12/35.3672/43.7497","Maplink1")</f>
        <v>Maplink1</v>
      </c>
      <c r="AV471" s="20" t="str">
        <f>HYPERLINK("https://www.google.iq/maps/search/+35.3672,43.7497/@35.3672,43.7497,14z?hl=en","Maplink2")</f>
        <v>Maplink2</v>
      </c>
      <c r="AW471" s="20" t="str">
        <f>HYPERLINK("http://www.bing.com/maps/?lvl=14&amp;sty=h&amp;cp=35.3672~43.7497&amp;sp=point.35.3672_43.7497","Maplink3")</f>
        <v>Maplink3</v>
      </c>
    </row>
    <row r="472" spans="1:49" x14ac:dyDescent="0.25">
      <c r="A472" s="9">
        <v>33229</v>
      </c>
      <c r="B472" s="10" t="s">
        <v>16</v>
      </c>
      <c r="C472" s="10" t="s">
        <v>882</v>
      </c>
      <c r="D472" s="10" t="s">
        <v>2094</v>
      </c>
      <c r="E472" s="10" t="s">
        <v>2095</v>
      </c>
      <c r="F472" s="10">
        <v>35.344799999999999</v>
      </c>
      <c r="G472" s="10">
        <v>43.737139999999997</v>
      </c>
      <c r="H472" s="11">
        <v>66</v>
      </c>
      <c r="I472" s="11">
        <v>396</v>
      </c>
      <c r="J472" s="11"/>
      <c r="K472" s="11"/>
      <c r="L472" s="11"/>
      <c r="M472" s="11"/>
      <c r="N472" s="11"/>
      <c r="O472" s="11"/>
      <c r="P472" s="11"/>
      <c r="Q472" s="11"/>
      <c r="R472" s="11">
        <v>59</v>
      </c>
      <c r="S472" s="11"/>
      <c r="T472" s="11"/>
      <c r="U472" s="11"/>
      <c r="V472" s="11"/>
      <c r="W472" s="11"/>
      <c r="X472" s="11">
        <v>7</v>
      </c>
      <c r="Y472" s="11"/>
      <c r="Z472" s="11"/>
      <c r="AA472" s="11"/>
      <c r="AB472" s="11"/>
      <c r="AC472" s="11">
        <v>66</v>
      </c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>
        <v>5</v>
      </c>
      <c r="AQ472" s="11">
        <v>5</v>
      </c>
      <c r="AR472" s="11">
        <v>10</v>
      </c>
      <c r="AS472" s="11">
        <v>36</v>
      </c>
      <c r="AT472" s="11">
        <v>10</v>
      </c>
      <c r="AU472" s="20" t="str">
        <f>HYPERLINK("http://www.openstreetmap.org/?mlat=35.3448&amp;mlon=43.7371&amp;zoom=12#map=12/35.3448/43.7371","Maplink1")</f>
        <v>Maplink1</v>
      </c>
      <c r="AV472" s="20" t="str">
        <f>HYPERLINK("https://www.google.iq/maps/search/+35.3448,43.7371/@35.3448,43.7371,14z?hl=en","Maplink2")</f>
        <v>Maplink2</v>
      </c>
      <c r="AW472" s="20" t="str">
        <f>HYPERLINK("http://www.bing.com/maps/?lvl=14&amp;sty=h&amp;cp=35.3448~43.7371&amp;sp=point.35.3448_43.7371","Maplink3")</f>
        <v>Maplink3</v>
      </c>
    </row>
    <row r="473" spans="1:49" x14ac:dyDescent="0.25">
      <c r="A473" s="9">
        <v>15250</v>
      </c>
      <c r="B473" s="10" t="s">
        <v>16</v>
      </c>
      <c r="C473" s="10" t="s">
        <v>882</v>
      </c>
      <c r="D473" s="10" t="s">
        <v>2096</v>
      </c>
      <c r="E473" s="10" t="s">
        <v>2097</v>
      </c>
      <c r="F473" s="10">
        <v>35.308300000000003</v>
      </c>
      <c r="G473" s="10">
        <v>43.595300000000002</v>
      </c>
      <c r="H473" s="11">
        <v>150</v>
      </c>
      <c r="I473" s="11">
        <v>900</v>
      </c>
      <c r="J473" s="11"/>
      <c r="K473" s="11"/>
      <c r="L473" s="11"/>
      <c r="M473" s="11"/>
      <c r="N473" s="11"/>
      <c r="O473" s="11"/>
      <c r="P473" s="11"/>
      <c r="Q473" s="11"/>
      <c r="R473" s="11">
        <v>100</v>
      </c>
      <c r="S473" s="11"/>
      <c r="T473" s="11"/>
      <c r="U473" s="11"/>
      <c r="V473" s="11"/>
      <c r="W473" s="11"/>
      <c r="X473" s="11">
        <v>50</v>
      </c>
      <c r="Y473" s="11"/>
      <c r="Z473" s="11"/>
      <c r="AA473" s="11"/>
      <c r="AB473" s="11"/>
      <c r="AC473" s="11">
        <v>150</v>
      </c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>
        <v>10</v>
      </c>
      <c r="AO473" s="11">
        <v>5</v>
      </c>
      <c r="AP473" s="11">
        <v>30</v>
      </c>
      <c r="AQ473" s="11">
        <v>40</v>
      </c>
      <c r="AR473" s="11">
        <v>35</v>
      </c>
      <c r="AS473" s="11">
        <v>10</v>
      </c>
      <c r="AT473" s="11">
        <v>20</v>
      </c>
      <c r="AU473" s="20" t="str">
        <f>HYPERLINK("http://www.openstreetmap.org/?mlat=35.3083&amp;mlon=43.5953&amp;zoom=12#map=12/35.3083/43.5953","Maplink1")</f>
        <v>Maplink1</v>
      </c>
      <c r="AV473" s="20" t="str">
        <f>HYPERLINK("https://www.google.iq/maps/search/+35.3083,43.5953/@35.3083,43.5953,14z?hl=en","Maplink2")</f>
        <v>Maplink2</v>
      </c>
      <c r="AW473" s="20" t="str">
        <f>HYPERLINK("http://www.bing.com/maps/?lvl=14&amp;sty=h&amp;cp=35.3083~43.5953&amp;sp=point.35.3083_43.5953","Maplink3")</f>
        <v>Maplink3</v>
      </c>
    </row>
    <row r="474" spans="1:49" x14ac:dyDescent="0.25">
      <c r="A474" s="9">
        <v>15191</v>
      </c>
      <c r="B474" s="10" t="s">
        <v>16</v>
      </c>
      <c r="C474" s="10" t="s">
        <v>882</v>
      </c>
      <c r="D474" s="10" t="s">
        <v>1603</v>
      </c>
      <c r="E474" s="10" t="s">
        <v>1858</v>
      </c>
      <c r="F474" s="10">
        <v>35.264330000000001</v>
      </c>
      <c r="G474" s="10">
        <v>43.450769999999999</v>
      </c>
      <c r="H474" s="11">
        <v>1500</v>
      </c>
      <c r="I474" s="11">
        <v>9000</v>
      </c>
      <c r="J474" s="11"/>
      <c r="K474" s="11"/>
      <c r="L474" s="11"/>
      <c r="M474" s="11"/>
      <c r="N474" s="11"/>
      <c r="O474" s="11"/>
      <c r="P474" s="11"/>
      <c r="Q474" s="11"/>
      <c r="R474" s="11">
        <v>1500</v>
      </c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>
        <v>1250</v>
      </c>
      <c r="AD474" s="11"/>
      <c r="AE474" s="11"/>
      <c r="AF474" s="11"/>
      <c r="AG474" s="11"/>
      <c r="AH474" s="11"/>
      <c r="AI474" s="11"/>
      <c r="AJ474" s="11"/>
      <c r="AK474" s="11"/>
      <c r="AL474" s="11">
        <v>250</v>
      </c>
      <c r="AM474" s="11"/>
      <c r="AN474" s="11"/>
      <c r="AO474" s="11">
        <v>50</v>
      </c>
      <c r="AP474" s="11">
        <v>300</v>
      </c>
      <c r="AQ474" s="11">
        <v>300</v>
      </c>
      <c r="AR474" s="11">
        <v>350</v>
      </c>
      <c r="AS474" s="11">
        <v>450</v>
      </c>
      <c r="AT474" s="11">
        <v>50</v>
      </c>
      <c r="AU474" s="20" t="str">
        <f>HYPERLINK("http://www.openstreetmap.org/?mlat=35.2643&amp;mlon=43.4508&amp;zoom=12#map=12/35.2643/43.4508","Maplink1")</f>
        <v>Maplink1</v>
      </c>
      <c r="AV474" s="20" t="str">
        <f>HYPERLINK("https://www.google.iq/maps/search/+35.2643,43.4508/@35.2643,43.4508,14z?hl=en","Maplink2")</f>
        <v>Maplink2</v>
      </c>
      <c r="AW474" s="20" t="str">
        <f>HYPERLINK("http://www.bing.com/maps/?lvl=14&amp;sty=h&amp;cp=35.2643~43.4508&amp;sp=point.35.2643_43.4508","Maplink3")</f>
        <v>Maplink3</v>
      </c>
    </row>
    <row r="475" spans="1:49" x14ac:dyDescent="0.25">
      <c r="A475" s="9">
        <v>15305</v>
      </c>
      <c r="B475" s="10" t="s">
        <v>16</v>
      </c>
      <c r="C475" s="10" t="s">
        <v>882</v>
      </c>
      <c r="D475" s="10" t="s">
        <v>1705</v>
      </c>
      <c r="E475" s="10" t="s">
        <v>1706</v>
      </c>
      <c r="F475" s="10">
        <v>35.349539999999998</v>
      </c>
      <c r="G475" s="10">
        <v>43.703099999999999</v>
      </c>
      <c r="H475" s="11">
        <v>83</v>
      </c>
      <c r="I475" s="11">
        <v>498</v>
      </c>
      <c r="J475" s="11"/>
      <c r="K475" s="11"/>
      <c r="L475" s="11"/>
      <c r="M475" s="11"/>
      <c r="N475" s="11"/>
      <c r="O475" s="11"/>
      <c r="P475" s="11"/>
      <c r="Q475" s="11"/>
      <c r="R475" s="11">
        <v>83</v>
      </c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>
        <v>83</v>
      </c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>
        <v>5</v>
      </c>
      <c r="AP475" s="11">
        <v>15</v>
      </c>
      <c r="AQ475" s="11"/>
      <c r="AR475" s="11">
        <v>23</v>
      </c>
      <c r="AS475" s="11">
        <v>35</v>
      </c>
      <c r="AT475" s="11">
        <v>5</v>
      </c>
      <c r="AU475" s="20" t="str">
        <f>HYPERLINK("http://www.openstreetmap.org/?mlat=35.3495&amp;mlon=43.7031&amp;zoom=12#map=12/35.3495/43.7031","Maplink1")</f>
        <v>Maplink1</v>
      </c>
      <c r="AV475" s="20" t="str">
        <f>HYPERLINK("https://www.google.iq/maps/search/+35.3495,43.7031/@35.3495,43.7031,14z?hl=en","Maplink2")</f>
        <v>Maplink2</v>
      </c>
      <c r="AW475" s="20" t="str">
        <f>HYPERLINK("http://www.bing.com/maps/?lvl=14&amp;sty=h&amp;cp=35.3495~43.7031&amp;sp=point.35.3495_43.7031","Maplink3")</f>
        <v>Maplink3</v>
      </c>
    </row>
    <row r="476" spans="1:49" x14ac:dyDescent="0.25">
      <c r="A476" s="9">
        <v>15325</v>
      </c>
      <c r="B476" s="10" t="s">
        <v>16</v>
      </c>
      <c r="C476" s="10" t="s">
        <v>882</v>
      </c>
      <c r="D476" s="10" t="s">
        <v>2098</v>
      </c>
      <c r="E476" s="10" t="s">
        <v>2099</v>
      </c>
      <c r="F476" s="10">
        <v>35.370840000000001</v>
      </c>
      <c r="G476" s="10">
        <v>43.76437</v>
      </c>
      <c r="H476" s="11">
        <v>12</v>
      </c>
      <c r="I476" s="11">
        <v>72</v>
      </c>
      <c r="J476" s="11"/>
      <c r="K476" s="11"/>
      <c r="L476" s="11"/>
      <c r="M476" s="11"/>
      <c r="N476" s="11"/>
      <c r="O476" s="11"/>
      <c r="P476" s="11"/>
      <c r="Q476" s="11"/>
      <c r="R476" s="11">
        <v>8</v>
      </c>
      <c r="S476" s="11"/>
      <c r="T476" s="11"/>
      <c r="U476" s="11"/>
      <c r="V476" s="11"/>
      <c r="W476" s="11"/>
      <c r="X476" s="11">
        <v>4</v>
      </c>
      <c r="Y476" s="11"/>
      <c r="Z476" s="11"/>
      <c r="AA476" s="11"/>
      <c r="AB476" s="11"/>
      <c r="AC476" s="11">
        <v>12</v>
      </c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>
        <v>2</v>
      </c>
      <c r="AR476" s="11">
        <v>5</v>
      </c>
      <c r="AS476" s="11">
        <v>5</v>
      </c>
      <c r="AT476" s="11"/>
      <c r="AU476" s="20" t="str">
        <f>HYPERLINK("http://www.openstreetmap.org/?mlat=35.3708&amp;mlon=43.7644&amp;zoom=12#map=12/35.3708/43.7644","Maplink1")</f>
        <v>Maplink1</v>
      </c>
      <c r="AV476" s="20" t="str">
        <f>HYPERLINK("https://www.google.iq/maps/search/+35.3708,43.7644/@35.3708,43.7644,14z?hl=en","Maplink2")</f>
        <v>Maplink2</v>
      </c>
      <c r="AW476" s="20" t="str">
        <f>HYPERLINK("http://www.bing.com/maps/?lvl=14&amp;sty=h&amp;cp=35.3708~43.7644&amp;sp=point.35.3708_43.7644","Maplink3")</f>
        <v>Maplink3</v>
      </c>
    </row>
    <row r="477" spans="1:49" x14ac:dyDescent="0.25">
      <c r="A477" s="9">
        <v>14950</v>
      </c>
      <c r="B477" s="10" t="s">
        <v>16</v>
      </c>
      <c r="C477" s="10" t="s">
        <v>882</v>
      </c>
      <c r="D477" s="10" t="s">
        <v>2100</v>
      </c>
      <c r="E477" s="10" t="s">
        <v>2101</v>
      </c>
      <c r="F477" s="10">
        <v>35.144399999999997</v>
      </c>
      <c r="G477" s="10">
        <v>43.801200000000001</v>
      </c>
      <c r="H477" s="11">
        <v>30</v>
      </c>
      <c r="I477" s="11">
        <v>180</v>
      </c>
      <c r="J477" s="11"/>
      <c r="K477" s="11"/>
      <c r="L477" s="11"/>
      <c r="M477" s="11"/>
      <c r="N477" s="11"/>
      <c r="O477" s="11"/>
      <c r="P477" s="11"/>
      <c r="Q477" s="11"/>
      <c r="R477" s="11">
        <v>30</v>
      </c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>
        <v>30</v>
      </c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>
        <v>10</v>
      </c>
      <c r="AP477" s="11">
        <v>20</v>
      </c>
      <c r="AQ477" s="11"/>
      <c r="AR477" s="11"/>
      <c r="AS477" s="11"/>
      <c r="AT477" s="11"/>
      <c r="AU477" s="20" t="str">
        <f>HYPERLINK("http://www.openstreetmap.org/?mlat=35.1444&amp;mlon=43.8012&amp;zoom=12#map=12/35.1444/43.8012","Maplink1")</f>
        <v>Maplink1</v>
      </c>
      <c r="AV477" s="20" t="str">
        <f>HYPERLINK("https://www.google.iq/maps/search/+35.1444,43.8012/@35.1444,43.8012,14z?hl=en","Maplink2")</f>
        <v>Maplink2</v>
      </c>
      <c r="AW477" s="20" t="str">
        <f>HYPERLINK("http://www.bing.com/maps/?lvl=14&amp;sty=h&amp;cp=35.1444~43.8012&amp;sp=point.35.1444_43.8012","Maplink3")</f>
        <v>Maplink3</v>
      </c>
    </row>
    <row r="478" spans="1:49" s="19" customFormat="1" x14ac:dyDescent="0.25">
      <c r="A478" s="9">
        <v>15336</v>
      </c>
      <c r="B478" s="10" t="s">
        <v>16</v>
      </c>
      <c r="C478" s="10" t="s">
        <v>882</v>
      </c>
      <c r="D478" s="10" t="s">
        <v>1707</v>
      </c>
      <c r="E478" s="10" t="s">
        <v>1708</v>
      </c>
      <c r="F478" s="10">
        <v>35.374189999999999</v>
      </c>
      <c r="G478" s="10">
        <v>43.734290000000001</v>
      </c>
      <c r="H478" s="11">
        <v>100</v>
      </c>
      <c r="I478" s="11">
        <v>600</v>
      </c>
      <c r="J478" s="11"/>
      <c r="K478" s="11"/>
      <c r="L478" s="11"/>
      <c r="M478" s="11"/>
      <c r="N478" s="11"/>
      <c r="O478" s="11"/>
      <c r="P478" s="11"/>
      <c r="Q478" s="11"/>
      <c r="R478" s="11">
        <v>100</v>
      </c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>
        <v>100</v>
      </c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>
        <v>5</v>
      </c>
      <c r="AO478" s="11">
        <v>10</v>
      </c>
      <c r="AP478" s="11"/>
      <c r="AQ478" s="11">
        <v>10</v>
      </c>
      <c r="AR478" s="11">
        <v>35</v>
      </c>
      <c r="AS478" s="11">
        <v>20</v>
      </c>
      <c r="AT478" s="11">
        <v>20</v>
      </c>
      <c r="AU478" s="20" t="str">
        <f>HYPERLINK("http://www.openstreetmap.org/?mlat=35.3742&amp;mlon=43.7343&amp;zoom=12#map=12/35.3742/43.7343","Maplink1")</f>
        <v>Maplink1</v>
      </c>
      <c r="AV478" s="20" t="str">
        <f>HYPERLINK("https://www.google.iq/maps/search/+35.3742,43.7343/@35.3742,43.7343,14z?hl=en","Maplink2")</f>
        <v>Maplink2</v>
      </c>
      <c r="AW478" s="20" t="str">
        <f>HYPERLINK("http://www.bing.com/maps/?lvl=14&amp;sty=h&amp;cp=35.3742~43.7343&amp;sp=point.35.3742_43.7343","Maplink3")</f>
        <v>Maplink3</v>
      </c>
    </row>
    <row r="479" spans="1:49" s="19" customFormat="1" x14ac:dyDescent="0.25">
      <c r="A479" s="9">
        <v>15346</v>
      </c>
      <c r="B479" s="10" t="s">
        <v>16</v>
      </c>
      <c r="C479" s="10" t="s">
        <v>882</v>
      </c>
      <c r="D479" s="10" t="s">
        <v>1859</v>
      </c>
      <c r="E479" s="10" t="s">
        <v>1860</v>
      </c>
      <c r="F479" s="10">
        <v>35.383299999999998</v>
      </c>
      <c r="G479" s="10">
        <v>43.629100000000001</v>
      </c>
      <c r="H479" s="11">
        <v>255</v>
      </c>
      <c r="I479" s="11">
        <v>1530</v>
      </c>
      <c r="J479" s="11"/>
      <c r="K479" s="11"/>
      <c r="L479" s="11"/>
      <c r="M479" s="11"/>
      <c r="N479" s="11"/>
      <c r="O479" s="11"/>
      <c r="P479" s="11"/>
      <c r="Q479" s="11"/>
      <c r="R479" s="11">
        <v>255</v>
      </c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>
        <v>255</v>
      </c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>
        <v>255</v>
      </c>
      <c r="AU479" s="20" t="str">
        <f>HYPERLINK("http://www.openstreetmap.org/?mlat=35.3833&amp;mlon=43.6291&amp;zoom=12#map=12/35.3833/43.6291","Maplink1")</f>
        <v>Maplink1</v>
      </c>
      <c r="AV479" s="20" t="str">
        <f>HYPERLINK("https://www.google.iq/maps/search/+35.3833,43.6291/@35.3833,43.6291,14z?hl=en","Maplink2")</f>
        <v>Maplink2</v>
      </c>
      <c r="AW479" s="20" t="str">
        <f>HYPERLINK("http://www.bing.com/maps/?lvl=14&amp;sty=h&amp;cp=35.3833~43.6291&amp;sp=point.35.3833_43.6291","Maplink3")</f>
        <v>Maplink3</v>
      </c>
    </row>
    <row r="480" spans="1:49" s="19" customFormat="1" x14ac:dyDescent="0.25">
      <c r="A480" s="9">
        <v>15264</v>
      </c>
      <c r="B480" s="10" t="s">
        <v>16</v>
      </c>
      <c r="C480" s="10" t="s">
        <v>882</v>
      </c>
      <c r="D480" s="10" t="s">
        <v>1861</v>
      </c>
      <c r="E480" s="10" t="s">
        <v>1862</v>
      </c>
      <c r="F480" s="10">
        <v>35.32208</v>
      </c>
      <c r="G480" s="10">
        <v>43.7956</v>
      </c>
      <c r="H480" s="11">
        <v>5</v>
      </c>
      <c r="I480" s="11">
        <v>30</v>
      </c>
      <c r="J480" s="11"/>
      <c r="K480" s="11"/>
      <c r="L480" s="11"/>
      <c r="M480" s="11"/>
      <c r="N480" s="11"/>
      <c r="O480" s="11"/>
      <c r="P480" s="11"/>
      <c r="Q480" s="11"/>
      <c r="R480" s="11">
        <v>5</v>
      </c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>
        <v>5</v>
      </c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>
        <v>5</v>
      </c>
      <c r="AU480" s="20" t="str">
        <f>HYPERLINK("http://www.openstreetmap.org/?mlat=35.3221&amp;mlon=43.7956&amp;zoom=12#map=12/35.3221/43.7956","Maplink1")</f>
        <v>Maplink1</v>
      </c>
      <c r="AV480" s="20" t="str">
        <f>HYPERLINK("https://www.google.iq/maps/search/+35.3221,43.7956/@35.3221,43.7956,14z?hl=en","Maplink2")</f>
        <v>Maplink2</v>
      </c>
      <c r="AW480" s="20" t="str">
        <f>HYPERLINK("http://www.bing.com/maps/?lvl=14&amp;sty=h&amp;cp=35.3221~43.7956&amp;sp=point.35.3221_43.7956","Maplink3")</f>
        <v>Maplink3</v>
      </c>
    </row>
    <row r="481" spans="1:49" s="19" customFormat="1" x14ac:dyDescent="0.25">
      <c r="A481" s="9">
        <v>14993</v>
      </c>
      <c r="B481" s="10" t="s">
        <v>16</v>
      </c>
      <c r="C481" s="10" t="s">
        <v>882</v>
      </c>
      <c r="D481" s="10" t="s">
        <v>1863</v>
      </c>
      <c r="E481" s="10" t="s">
        <v>1864</v>
      </c>
      <c r="F481" s="10">
        <v>35.310029999999998</v>
      </c>
      <c r="G481" s="10">
        <v>43.666179999999997</v>
      </c>
      <c r="H481" s="11">
        <v>235</v>
      </c>
      <c r="I481" s="11">
        <v>1410</v>
      </c>
      <c r="J481" s="11"/>
      <c r="K481" s="11"/>
      <c r="L481" s="11"/>
      <c r="M481" s="11"/>
      <c r="N481" s="11"/>
      <c r="O481" s="11"/>
      <c r="P481" s="11"/>
      <c r="Q481" s="11"/>
      <c r="R481" s="11">
        <v>220</v>
      </c>
      <c r="S481" s="11"/>
      <c r="T481" s="11"/>
      <c r="U481" s="11"/>
      <c r="V481" s="11"/>
      <c r="W481" s="11"/>
      <c r="X481" s="11">
        <v>15</v>
      </c>
      <c r="Y481" s="11"/>
      <c r="Z481" s="11"/>
      <c r="AA481" s="11"/>
      <c r="AB481" s="11"/>
      <c r="AC481" s="11">
        <v>235</v>
      </c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>
        <v>10</v>
      </c>
      <c r="AO481" s="11">
        <v>20</v>
      </c>
      <c r="AP481" s="11">
        <v>70</v>
      </c>
      <c r="AQ481" s="11">
        <v>40</v>
      </c>
      <c r="AR481" s="11">
        <v>35</v>
      </c>
      <c r="AS481" s="11">
        <v>25</v>
      </c>
      <c r="AT481" s="11">
        <v>35</v>
      </c>
      <c r="AU481" s="20" t="str">
        <f>HYPERLINK("http://www.openstreetmap.org/?mlat=35.31&amp;mlon=43.6662&amp;zoom=12#map=12/35.31/43.6662","Maplink1")</f>
        <v>Maplink1</v>
      </c>
      <c r="AV481" s="20" t="str">
        <f>HYPERLINK("https://www.google.iq/maps/search/+35.31,43.6662/@35.31,43.6662,14z?hl=en","Maplink2")</f>
        <v>Maplink2</v>
      </c>
      <c r="AW481" s="20" t="str">
        <f>HYPERLINK("http://www.bing.com/maps/?lvl=14&amp;sty=h&amp;cp=35.31~43.6662&amp;sp=point.35.31_43.6662","Maplink3")</f>
        <v>Maplink3</v>
      </c>
    </row>
    <row r="482" spans="1:49" s="19" customFormat="1" x14ac:dyDescent="0.25">
      <c r="A482" s="9">
        <v>15075</v>
      </c>
      <c r="B482" s="10" t="s">
        <v>16</v>
      </c>
      <c r="C482" s="10" t="s">
        <v>882</v>
      </c>
      <c r="D482" s="10" t="s">
        <v>2102</v>
      </c>
      <c r="E482" s="10" t="s">
        <v>2103</v>
      </c>
      <c r="F482" s="10">
        <v>35.112099999999998</v>
      </c>
      <c r="G482" s="10">
        <v>43.590400000000002</v>
      </c>
      <c r="H482" s="11">
        <v>160</v>
      </c>
      <c r="I482" s="11">
        <v>960</v>
      </c>
      <c r="J482" s="11"/>
      <c r="K482" s="11"/>
      <c r="L482" s="11"/>
      <c r="M482" s="11"/>
      <c r="N482" s="11"/>
      <c r="O482" s="11"/>
      <c r="P482" s="11"/>
      <c r="Q482" s="11"/>
      <c r="R482" s="11">
        <v>160</v>
      </c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>
        <v>160</v>
      </c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>
        <v>20</v>
      </c>
      <c r="AO482" s="11">
        <v>35</v>
      </c>
      <c r="AP482" s="11">
        <v>40</v>
      </c>
      <c r="AQ482" s="11">
        <v>65</v>
      </c>
      <c r="AR482" s="11"/>
      <c r="AS482" s="11"/>
      <c r="AT482" s="11"/>
      <c r="AU482" s="20" t="str">
        <f>HYPERLINK("http://www.openstreetmap.org/?mlat=35.1121&amp;mlon=43.5904&amp;zoom=12#map=12/35.1121/43.5904","Maplink1")</f>
        <v>Maplink1</v>
      </c>
      <c r="AV482" s="20" t="str">
        <f>HYPERLINK("https://www.google.iq/maps/search/+35.1121,43.5904/@35.1121,43.5904,14z?hl=en","Maplink2")</f>
        <v>Maplink2</v>
      </c>
      <c r="AW482" s="20" t="str">
        <f>HYPERLINK("http://www.bing.com/maps/?lvl=14&amp;sty=h&amp;cp=35.1121~43.5904&amp;sp=point.35.1121_43.5904","Maplink3")</f>
        <v>Maplink3</v>
      </c>
    </row>
    <row r="483" spans="1:49" s="19" customFormat="1" x14ac:dyDescent="0.25">
      <c r="A483" s="9">
        <v>33228</v>
      </c>
      <c r="B483" s="10" t="s">
        <v>16</v>
      </c>
      <c r="C483" s="10" t="s">
        <v>882</v>
      </c>
      <c r="D483" s="10" t="s">
        <v>2104</v>
      </c>
      <c r="E483" s="10" t="s">
        <v>2105</v>
      </c>
      <c r="F483" s="10">
        <v>35.324800000000003</v>
      </c>
      <c r="G483" s="10">
        <v>43.636000000000003</v>
      </c>
      <c r="H483" s="11">
        <v>450</v>
      </c>
      <c r="I483" s="11">
        <v>2700</v>
      </c>
      <c r="J483" s="11"/>
      <c r="K483" s="11"/>
      <c r="L483" s="11"/>
      <c r="M483" s="11"/>
      <c r="N483" s="11"/>
      <c r="O483" s="11"/>
      <c r="P483" s="11"/>
      <c r="Q483" s="11"/>
      <c r="R483" s="11">
        <v>200</v>
      </c>
      <c r="S483" s="11"/>
      <c r="T483" s="11"/>
      <c r="U483" s="11"/>
      <c r="V483" s="11"/>
      <c r="W483" s="11"/>
      <c r="X483" s="11">
        <v>250</v>
      </c>
      <c r="Y483" s="11"/>
      <c r="Z483" s="11"/>
      <c r="AA483" s="11"/>
      <c r="AB483" s="11"/>
      <c r="AC483" s="11">
        <v>450</v>
      </c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>
        <v>35</v>
      </c>
      <c r="AO483" s="11">
        <v>60</v>
      </c>
      <c r="AP483" s="11">
        <v>80</v>
      </c>
      <c r="AQ483" s="11">
        <v>100</v>
      </c>
      <c r="AR483" s="11">
        <v>55</v>
      </c>
      <c r="AS483" s="11">
        <v>70</v>
      </c>
      <c r="AT483" s="11">
        <v>50</v>
      </c>
      <c r="AU483" s="20" t="str">
        <f>HYPERLINK("http://www.openstreetmap.org/?mlat=35.3248&amp;mlon=43.636&amp;zoom=12#map=12/35.3248/43.636","Maplink1")</f>
        <v>Maplink1</v>
      </c>
      <c r="AV483" s="20" t="str">
        <f>HYPERLINK("https://www.google.iq/maps/search/+35.3248,43.636/@35.3248,43.636,14z?hl=en","Maplink2")</f>
        <v>Maplink2</v>
      </c>
      <c r="AW483" s="20" t="str">
        <f>HYPERLINK("http://www.bing.com/maps/?lvl=14&amp;sty=h&amp;cp=35.3248~43.636&amp;sp=point.35.3248_43.636","Maplink3")</f>
        <v>Maplink3</v>
      </c>
    </row>
    <row r="484" spans="1:49" s="19" customFormat="1" x14ac:dyDescent="0.25">
      <c r="A484" s="9">
        <v>15281</v>
      </c>
      <c r="B484" s="10" t="s">
        <v>16</v>
      </c>
      <c r="C484" s="10" t="s">
        <v>882</v>
      </c>
      <c r="D484" s="10" t="s">
        <v>1709</v>
      </c>
      <c r="E484" s="10" t="s">
        <v>1865</v>
      </c>
      <c r="F484" s="10">
        <v>35.333556000000002</v>
      </c>
      <c r="G484" s="10">
        <v>43.652000000000001</v>
      </c>
      <c r="H484" s="11">
        <v>70</v>
      </c>
      <c r="I484" s="11">
        <v>420</v>
      </c>
      <c r="J484" s="11"/>
      <c r="K484" s="11"/>
      <c r="L484" s="11"/>
      <c r="M484" s="11"/>
      <c r="N484" s="11"/>
      <c r="O484" s="11"/>
      <c r="P484" s="11"/>
      <c r="Q484" s="11"/>
      <c r="R484" s="11">
        <v>70</v>
      </c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>
        <v>70</v>
      </c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>
        <v>30</v>
      </c>
      <c r="AS484" s="11">
        <v>40</v>
      </c>
      <c r="AT484" s="11"/>
      <c r="AU484" s="20" t="str">
        <f>HYPERLINK("http://www.openstreetmap.org/?mlat=35.3336&amp;mlon=43.652&amp;zoom=12#map=12/35.3336/43.652","Maplink1")</f>
        <v>Maplink1</v>
      </c>
      <c r="AV484" s="20" t="str">
        <f>HYPERLINK("https://www.google.iq/maps/search/+35.3336,43.652/@35.3336,43.652,14z?hl=en","Maplink2")</f>
        <v>Maplink2</v>
      </c>
      <c r="AW484" s="20" t="str">
        <f>HYPERLINK("http://www.bing.com/maps/?lvl=14&amp;sty=h&amp;cp=35.3336~43.652&amp;sp=point.35.3336_43.652","Maplink3")</f>
        <v>Maplink3</v>
      </c>
    </row>
    <row r="485" spans="1:49" s="19" customFormat="1" x14ac:dyDescent="0.25">
      <c r="A485" s="9">
        <v>15353</v>
      </c>
      <c r="B485" s="10" t="s">
        <v>16</v>
      </c>
      <c r="C485" s="10" t="s">
        <v>882</v>
      </c>
      <c r="D485" s="10" t="s">
        <v>1866</v>
      </c>
      <c r="E485" s="10" t="s">
        <v>1867</v>
      </c>
      <c r="F485" s="10">
        <v>35.386972</v>
      </c>
      <c r="G485" s="10">
        <v>43.692582999999999</v>
      </c>
      <c r="H485" s="11">
        <v>110</v>
      </c>
      <c r="I485" s="11">
        <v>660</v>
      </c>
      <c r="J485" s="11"/>
      <c r="K485" s="11"/>
      <c r="L485" s="11"/>
      <c r="M485" s="11"/>
      <c r="N485" s="11"/>
      <c r="O485" s="11"/>
      <c r="P485" s="11"/>
      <c r="Q485" s="11"/>
      <c r="R485" s="11">
        <v>110</v>
      </c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>
        <v>110</v>
      </c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>
        <v>10</v>
      </c>
      <c r="AQ485" s="11">
        <v>10</v>
      </c>
      <c r="AR485" s="11">
        <v>60</v>
      </c>
      <c r="AS485" s="11">
        <v>20</v>
      </c>
      <c r="AT485" s="11">
        <v>10</v>
      </c>
      <c r="AU485" s="20" t="str">
        <f>HYPERLINK("http://www.openstreetmap.org/?mlat=35.387&amp;mlon=43.6926&amp;zoom=12#map=12/35.387/43.6926","Maplink1")</f>
        <v>Maplink1</v>
      </c>
      <c r="AV485" s="20" t="str">
        <f>HYPERLINK("https://www.google.iq/maps/search/+35.387,43.6926/@35.387,43.6926,14z?hl=en","Maplink2")</f>
        <v>Maplink2</v>
      </c>
      <c r="AW485" s="20" t="str">
        <f>HYPERLINK("http://www.bing.com/maps/?lvl=14&amp;sty=h&amp;cp=35.387~43.6926&amp;sp=point.35.387_43.6926","Maplink3")</f>
        <v>Maplink3</v>
      </c>
    </row>
    <row r="486" spans="1:49" s="19" customFormat="1" x14ac:dyDescent="0.25">
      <c r="A486" s="9">
        <v>15296</v>
      </c>
      <c r="B486" s="10" t="s">
        <v>16</v>
      </c>
      <c r="C486" s="10" t="s">
        <v>882</v>
      </c>
      <c r="D486" s="10" t="s">
        <v>1710</v>
      </c>
      <c r="E486" s="10" t="s">
        <v>1711</v>
      </c>
      <c r="F486" s="10">
        <v>35.34366</v>
      </c>
      <c r="G486" s="10">
        <v>43.689430000000002</v>
      </c>
      <c r="H486" s="11">
        <v>55</v>
      </c>
      <c r="I486" s="11">
        <v>330</v>
      </c>
      <c r="J486" s="11"/>
      <c r="K486" s="11"/>
      <c r="L486" s="11"/>
      <c r="M486" s="11"/>
      <c r="N486" s="11"/>
      <c r="O486" s="11"/>
      <c r="P486" s="11"/>
      <c r="Q486" s="11"/>
      <c r="R486" s="11">
        <v>55</v>
      </c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>
        <v>55</v>
      </c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>
        <v>5</v>
      </c>
      <c r="AR486" s="11">
        <v>30</v>
      </c>
      <c r="AS486" s="11">
        <v>10</v>
      </c>
      <c r="AT486" s="11">
        <v>10</v>
      </c>
      <c r="AU486" s="20" t="str">
        <f>HYPERLINK("http://www.openstreetmap.org/?mlat=35.3437&amp;mlon=43.6894&amp;zoom=12#map=12/35.3437/43.6894","Maplink1")</f>
        <v>Maplink1</v>
      </c>
      <c r="AV486" s="20" t="str">
        <f>HYPERLINK("https://www.google.iq/maps/search/+35.3437,43.6894/@35.3437,43.6894,14z?hl=en","Maplink2")</f>
        <v>Maplink2</v>
      </c>
      <c r="AW486" s="20" t="str">
        <f>HYPERLINK("http://www.bing.com/maps/?lvl=14&amp;sty=h&amp;cp=35.3437~43.6894&amp;sp=point.35.3437_43.6894","Maplink3")</f>
        <v>Maplink3</v>
      </c>
    </row>
    <row r="487" spans="1:49" s="19" customFormat="1" x14ac:dyDescent="0.25">
      <c r="A487" s="9">
        <v>33188</v>
      </c>
      <c r="B487" s="10" t="s">
        <v>16</v>
      </c>
      <c r="C487" s="10" t="s">
        <v>882</v>
      </c>
      <c r="D487" s="10" t="s">
        <v>2106</v>
      </c>
      <c r="E487" s="10" t="s">
        <v>2107</v>
      </c>
      <c r="F487" s="10">
        <v>35.273299999999999</v>
      </c>
      <c r="G487" s="10">
        <v>44.0959</v>
      </c>
      <c r="H487" s="11">
        <v>32</v>
      </c>
      <c r="I487" s="11">
        <v>192</v>
      </c>
      <c r="J487" s="11"/>
      <c r="K487" s="11"/>
      <c r="L487" s="11"/>
      <c r="M487" s="11"/>
      <c r="N487" s="11"/>
      <c r="O487" s="11"/>
      <c r="P487" s="11"/>
      <c r="Q487" s="11"/>
      <c r="R487" s="11">
        <v>32</v>
      </c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>
        <v>32</v>
      </c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>
        <v>7</v>
      </c>
      <c r="AP487" s="11">
        <v>15</v>
      </c>
      <c r="AQ487" s="11">
        <v>5</v>
      </c>
      <c r="AR487" s="11"/>
      <c r="AS487" s="11">
        <v>5</v>
      </c>
      <c r="AT487" s="11"/>
      <c r="AU487" s="20" t="str">
        <f>HYPERLINK("http://www.openstreetmap.org/?mlat=35.2733&amp;mlon=44.0959&amp;zoom=12#map=12/35.2733/44.0959","Maplink1")</f>
        <v>Maplink1</v>
      </c>
      <c r="AV487" s="20" t="str">
        <f>HYPERLINK("https://www.google.iq/maps/search/+35.2733,44.0959/@35.2733,44.0959,14z?hl=en","Maplink2")</f>
        <v>Maplink2</v>
      </c>
      <c r="AW487" s="20" t="str">
        <f>HYPERLINK("http://www.bing.com/maps/?lvl=14&amp;sty=h&amp;cp=35.2733~44.0959&amp;sp=point.35.2733_44.0959","Maplink3")</f>
        <v>Maplink3</v>
      </c>
    </row>
    <row r="488" spans="1:49" s="19" customFormat="1" x14ac:dyDescent="0.25">
      <c r="A488" s="9">
        <v>15317</v>
      </c>
      <c r="B488" s="10" t="s">
        <v>16</v>
      </c>
      <c r="C488" s="10" t="s">
        <v>882</v>
      </c>
      <c r="D488" s="10" t="s">
        <v>1712</v>
      </c>
      <c r="E488" s="10" t="s">
        <v>1713</v>
      </c>
      <c r="F488" s="10">
        <v>35.363799999999998</v>
      </c>
      <c r="G488" s="10">
        <v>43.712000000000003</v>
      </c>
      <c r="H488" s="11">
        <v>110</v>
      </c>
      <c r="I488" s="11">
        <v>660</v>
      </c>
      <c r="J488" s="11"/>
      <c r="K488" s="11"/>
      <c r="L488" s="11"/>
      <c r="M488" s="11"/>
      <c r="N488" s="11"/>
      <c r="O488" s="11"/>
      <c r="P488" s="11"/>
      <c r="Q488" s="11"/>
      <c r="R488" s="11">
        <v>110</v>
      </c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>
        <v>110</v>
      </c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>
        <v>25</v>
      </c>
      <c r="AO488" s="11"/>
      <c r="AP488" s="11">
        <v>10</v>
      </c>
      <c r="AQ488" s="11">
        <v>15</v>
      </c>
      <c r="AR488" s="11">
        <v>40</v>
      </c>
      <c r="AS488" s="11">
        <v>10</v>
      </c>
      <c r="AT488" s="11">
        <v>10</v>
      </c>
      <c r="AU488" s="20" t="str">
        <f>HYPERLINK("http://www.openstreetmap.org/?mlat=35.3638&amp;mlon=43.712&amp;zoom=12#map=12/35.3638/43.712","Maplink1")</f>
        <v>Maplink1</v>
      </c>
      <c r="AV488" s="20" t="str">
        <f>HYPERLINK("https://www.google.iq/maps/search/+35.3638,43.712/@35.3638,43.712,14z?hl=en","Maplink2")</f>
        <v>Maplink2</v>
      </c>
      <c r="AW488" s="20" t="str">
        <f>HYPERLINK("http://www.bing.com/maps/?lvl=14&amp;sty=h&amp;cp=35.3638~43.712&amp;sp=point.35.3638_43.712","Maplink3")</f>
        <v>Maplink3</v>
      </c>
    </row>
    <row r="489" spans="1:49" s="19" customFormat="1" x14ac:dyDescent="0.25">
      <c r="A489" s="9">
        <v>14664</v>
      </c>
      <c r="B489" s="10" t="s">
        <v>16</v>
      </c>
      <c r="C489" s="10" t="s">
        <v>882</v>
      </c>
      <c r="D489" s="10" t="s">
        <v>1868</v>
      </c>
      <c r="E489" s="10" t="s">
        <v>1869</v>
      </c>
      <c r="F489" s="10">
        <v>35.270000000000003</v>
      </c>
      <c r="G489" s="10">
        <v>43.48</v>
      </c>
      <c r="H489" s="11">
        <v>120</v>
      </c>
      <c r="I489" s="11">
        <v>720</v>
      </c>
      <c r="J489" s="11"/>
      <c r="K489" s="11"/>
      <c r="L489" s="11"/>
      <c r="M489" s="11"/>
      <c r="N489" s="11"/>
      <c r="O489" s="11"/>
      <c r="P489" s="11"/>
      <c r="Q489" s="11"/>
      <c r="R489" s="11">
        <v>120</v>
      </c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>
        <v>120</v>
      </c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>
        <v>60</v>
      </c>
      <c r="AS489" s="11">
        <v>30</v>
      </c>
      <c r="AT489" s="11">
        <v>30</v>
      </c>
      <c r="AU489" s="20" t="str">
        <f>HYPERLINK("http://www.openstreetmap.org/?mlat=35.27&amp;mlon=43.48&amp;zoom=12#map=12/35.27/43.48","Maplink1")</f>
        <v>Maplink1</v>
      </c>
      <c r="AV489" s="20" t="str">
        <f>HYPERLINK("https://www.google.iq/maps/search/+35.27,43.48/@35.27,43.48,14z?hl=en","Maplink2")</f>
        <v>Maplink2</v>
      </c>
      <c r="AW489" s="20" t="str">
        <f>HYPERLINK("http://www.bing.com/maps/?lvl=14&amp;sty=h&amp;cp=35.27~43.48&amp;sp=point.35.27_43.48","Maplink3")</f>
        <v>Maplink3</v>
      </c>
    </row>
    <row r="490" spans="1:49" s="19" customFormat="1" x14ac:dyDescent="0.25">
      <c r="A490" s="9">
        <v>14555</v>
      </c>
      <c r="B490" s="10" t="s">
        <v>16</v>
      </c>
      <c r="C490" s="10" t="s">
        <v>882</v>
      </c>
      <c r="D490" s="10" t="s">
        <v>1870</v>
      </c>
      <c r="E490" s="10" t="s">
        <v>1871</v>
      </c>
      <c r="F490" s="10">
        <v>35.215249999999997</v>
      </c>
      <c r="G490" s="10">
        <v>43.410400000000003</v>
      </c>
      <c r="H490" s="11">
        <v>620</v>
      </c>
      <c r="I490" s="11">
        <v>3720</v>
      </c>
      <c r="J490" s="11"/>
      <c r="K490" s="11"/>
      <c r="L490" s="11"/>
      <c r="M490" s="11"/>
      <c r="N490" s="11"/>
      <c r="O490" s="11"/>
      <c r="P490" s="11"/>
      <c r="Q490" s="11"/>
      <c r="R490" s="11">
        <v>400</v>
      </c>
      <c r="S490" s="11"/>
      <c r="T490" s="11"/>
      <c r="U490" s="11"/>
      <c r="V490" s="11"/>
      <c r="W490" s="11"/>
      <c r="X490" s="11">
        <v>220</v>
      </c>
      <c r="Y490" s="11"/>
      <c r="Z490" s="11"/>
      <c r="AA490" s="11"/>
      <c r="AB490" s="11"/>
      <c r="AC490" s="11">
        <v>620</v>
      </c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>
        <v>20</v>
      </c>
      <c r="AO490" s="11">
        <v>30</v>
      </c>
      <c r="AP490" s="11">
        <v>50</v>
      </c>
      <c r="AQ490" s="11">
        <v>70</v>
      </c>
      <c r="AR490" s="11">
        <v>210</v>
      </c>
      <c r="AS490" s="11">
        <v>200</v>
      </c>
      <c r="AT490" s="11">
        <v>40</v>
      </c>
      <c r="AU490" s="20" t="str">
        <f>HYPERLINK("http://www.openstreetmap.org/?mlat=35.2152&amp;mlon=43.4104&amp;zoom=12#map=12/35.2152/43.4104","Maplink1")</f>
        <v>Maplink1</v>
      </c>
      <c r="AV490" s="20" t="str">
        <f>HYPERLINK("https://www.google.iq/maps/search/+35.2152,43.4104/@35.2152,43.4104,14z?hl=en","Maplink2")</f>
        <v>Maplink2</v>
      </c>
      <c r="AW490" s="20" t="str">
        <f>HYPERLINK("http://www.bing.com/maps/?lvl=14&amp;sty=h&amp;cp=35.2152~43.4104&amp;sp=point.35.2152_43.4104","Maplink3")</f>
        <v>Maplink3</v>
      </c>
    </row>
    <row r="491" spans="1:49" s="19" customFormat="1" x14ac:dyDescent="0.25">
      <c r="A491" s="9">
        <v>14980</v>
      </c>
      <c r="B491" s="10" t="s">
        <v>16</v>
      </c>
      <c r="C491" s="10" t="s">
        <v>882</v>
      </c>
      <c r="D491" s="10" t="s">
        <v>2108</v>
      </c>
      <c r="E491" s="10" t="s">
        <v>1699</v>
      </c>
      <c r="F491" s="10">
        <v>35.384</v>
      </c>
      <c r="G491" s="10">
        <v>43.720799999999997</v>
      </c>
      <c r="H491" s="11">
        <v>45</v>
      </c>
      <c r="I491" s="11">
        <v>270</v>
      </c>
      <c r="J491" s="11"/>
      <c r="K491" s="11"/>
      <c r="L491" s="11"/>
      <c r="M491" s="11"/>
      <c r="N491" s="11"/>
      <c r="O491" s="11"/>
      <c r="P491" s="11"/>
      <c r="Q491" s="11"/>
      <c r="R491" s="11">
        <v>45</v>
      </c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>
        <v>45</v>
      </c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>
        <v>20</v>
      </c>
      <c r="AP491" s="11"/>
      <c r="AQ491" s="11"/>
      <c r="AR491" s="11">
        <v>5</v>
      </c>
      <c r="AS491" s="11">
        <v>10</v>
      </c>
      <c r="AT491" s="11">
        <v>10</v>
      </c>
      <c r="AU491" s="20" t="str">
        <f>HYPERLINK("http://www.openstreetmap.org/?mlat=35.384&amp;mlon=43.7208&amp;zoom=12#map=12/35.384/43.7208","Maplink1")</f>
        <v>Maplink1</v>
      </c>
      <c r="AV491" s="20" t="str">
        <f>HYPERLINK("https://www.google.iq/maps/search/+35.384,43.7208/@35.384,43.7208,14z?hl=en","Maplink2")</f>
        <v>Maplink2</v>
      </c>
      <c r="AW491" s="20" t="str">
        <f>HYPERLINK("http://www.bing.com/maps/?lvl=14&amp;sty=h&amp;cp=35.384~43.7208&amp;sp=point.35.384_43.7208","Maplink3")</f>
        <v>Maplink3</v>
      </c>
    </row>
    <row r="492" spans="1:49" s="19" customFormat="1" x14ac:dyDescent="0.25">
      <c r="A492" s="9">
        <v>24362</v>
      </c>
      <c r="B492" s="10" t="s">
        <v>16</v>
      </c>
      <c r="C492" s="10" t="s">
        <v>882</v>
      </c>
      <c r="D492" s="10" t="s">
        <v>883</v>
      </c>
      <c r="E492" s="10" t="s">
        <v>884</v>
      </c>
      <c r="F492" s="10">
        <v>35.297699999999999</v>
      </c>
      <c r="G492" s="10">
        <v>43.526299999999999</v>
      </c>
      <c r="H492" s="11">
        <v>750</v>
      </c>
      <c r="I492" s="11">
        <v>4500</v>
      </c>
      <c r="J492" s="11"/>
      <c r="K492" s="11"/>
      <c r="L492" s="11"/>
      <c r="M492" s="11"/>
      <c r="N492" s="11"/>
      <c r="O492" s="11"/>
      <c r="P492" s="11"/>
      <c r="Q492" s="11"/>
      <c r="R492" s="11">
        <v>500</v>
      </c>
      <c r="S492" s="11"/>
      <c r="T492" s="11"/>
      <c r="U492" s="11"/>
      <c r="V492" s="11">
        <v>250</v>
      </c>
      <c r="W492" s="11"/>
      <c r="X492" s="11"/>
      <c r="Y492" s="11"/>
      <c r="Z492" s="11"/>
      <c r="AA492" s="11"/>
      <c r="AB492" s="11"/>
      <c r="AC492" s="11">
        <v>750</v>
      </c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>
        <v>30</v>
      </c>
      <c r="AQ492" s="11">
        <v>120</v>
      </c>
      <c r="AR492" s="11">
        <v>150</v>
      </c>
      <c r="AS492" s="11">
        <v>200</v>
      </c>
      <c r="AT492" s="11">
        <v>250</v>
      </c>
      <c r="AU492" s="20" t="str">
        <f>HYPERLINK("http://www.openstreetmap.org/?mlat=35.2977&amp;mlon=43.5263&amp;zoom=12#map=12/35.2977/43.5263","Maplink1")</f>
        <v>Maplink1</v>
      </c>
      <c r="AV492" s="20" t="str">
        <f>HYPERLINK("https://www.google.iq/maps/search/+35.2977,43.5263/@35.2977,43.5263,14z?hl=en","Maplink2")</f>
        <v>Maplink2</v>
      </c>
      <c r="AW492" s="20" t="str">
        <f>HYPERLINK("http://www.bing.com/maps/?lvl=14&amp;sty=h&amp;cp=35.2977~43.5263&amp;sp=point.35.2977_43.5263","Maplink3")</f>
        <v>Maplink3</v>
      </c>
    </row>
    <row r="493" spans="1:49" s="19" customFormat="1" x14ac:dyDescent="0.25">
      <c r="A493" s="9">
        <v>14889</v>
      </c>
      <c r="B493" s="10" t="s">
        <v>16</v>
      </c>
      <c r="C493" s="10" t="s">
        <v>882</v>
      </c>
      <c r="D493" s="10" t="s">
        <v>1714</v>
      </c>
      <c r="E493" s="10" t="s">
        <v>1715</v>
      </c>
      <c r="F493" s="10">
        <v>35.352379999999997</v>
      </c>
      <c r="G493" s="10">
        <v>43.636051999999999</v>
      </c>
      <c r="H493" s="11">
        <v>210</v>
      </c>
      <c r="I493" s="11">
        <v>1260</v>
      </c>
      <c r="J493" s="11"/>
      <c r="K493" s="11"/>
      <c r="L493" s="11"/>
      <c r="M493" s="11"/>
      <c r="N493" s="11"/>
      <c r="O493" s="11"/>
      <c r="P493" s="11"/>
      <c r="Q493" s="11"/>
      <c r="R493" s="11">
        <v>210</v>
      </c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>
        <v>210</v>
      </c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>
        <v>20</v>
      </c>
      <c r="AR493" s="11">
        <v>40</v>
      </c>
      <c r="AS493" s="11">
        <v>60</v>
      </c>
      <c r="AT493" s="11">
        <v>90</v>
      </c>
      <c r="AU493" s="20" t="str">
        <f>HYPERLINK("http://www.openstreetmap.org/?mlat=35.3524&amp;mlon=43.6361&amp;zoom=12#map=12/35.3524/43.6361","Maplink1")</f>
        <v>Maplink1</v>
      </c>
      <c r="AV493" s="20" t="str">
        <f>HYPERLINK("https://www.google.iq/maps/search/+35.3524,43.6361/@35.3524,43.6361,14z?hl=en","Maplink2")</f>
        <v>Maplink2</v>
      </c>
      <c r="AW493" s="20" t="str">
        <f>HYPERLINK("http://www.bing.com/maps/?lvl=14&amp;sty=h&amp;cp=35.3524~43.6361&amp;sp=point.35.3524_43.6361","Maplink3")</f>
        <v>Maplink3</v>
      </c>
    </row>
    <row r="494" spans="1:49" s="19" customFormat="1" x14ac:dyDescent="0.25">
      <c r="A494" s="9">
        <v>15313</v>
      </c>
      <c r="B494" s="10" t="s">
        <v>16</v>
      </c>
      <c r="C494" s="10" t="s">
        <v>882</v>
      </c>
      <c r="D494" s="10" t="s">
        <v>1716</v>
      </c>
      <c r="E494" s="10" t="s">
        <v>1717</v>
      </c>
      <c r="F494" s="10">
        <v>35.358718000000003</v>
      </c>
      <c r="G494" s="10">
        <v>43.666516999999999</v>
      </c>
      <c r="H494" s="11">
        <v>575</v>
      </c>
      <c r="I494" s="11">
        <v>3450</v>
      </c>
      <c r="J494" s="11"/>
      <c r="K494" s="11"/>
      <c r="L494" s="11"/>
      <c r="M494" s="11"/>
      <c r="N494" s="11"/>
      <c r="O494" s="11"/>
      <c r="P494" s="11"/>
      <c r="Q494" s="11"/>
      <c r="R494" s="11">
        <v>575</v>
      </c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>
        <v>575</v>
      </c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>
        <v>25</v>
      </c>
      <c r="AO494" s="11">
        <v>110</v>
      </c>
      <c r="AP494" s="11">
        <v>90</v>
      </c>
      <c r="AQ494" s="11">
        <v>85</v>
      </c>
      <c r="AR494" s="11">
        <v>135</v>
      </c>
      <c r="AS494" s="11">
        <v>70</v>
      </c>
      <c r="AT494" s="11">
        <v>60</v>
      </c>
      <c r="AU494" s="20" t="str">
        <f>HYPERLINK("http://www.openstreetmap.org/?mlat=35.3587&amp;mlon=43.6665&amp;zoom=12#map=12/35.3587/43.6665","Maplink1")</f>
        <v>Maplink1</v>
      </c>
      <c r="AV494" s="20" t="str">
        <f>HYPERLINK("https://www.google.iq/maps/search/+35.3587,43.6665/@35.3587,43.6665,14z?hl=en","Maplink2")</f>
        <v>Maplink2</v>
      </c>
      <c r="AW494" s="20" t="str">
        <f>HYPERLINK("http://www.bing.com/maps/?lvl=14&amp;sty=h&amp;cp=35.3587~43.6665&amp;sp=point.35.3587_43.6665","Maplink3")</f>
        <v>Maplink3</v>
      </c>
    </row>
    <row r="495" spans="1:49" s="19" customFormat="1" x14ac:dyDescent="0.25">
      <c r="A495" s="9">
        <v>14696</v>
      </c>
      <c r="B495" s="10" t="s">
        <v>16</v>
      </c>
      <c r="C495" s="10" t="s">
        <v>882</v>
      </c>
      <c r="D495" s="10" t="s">
        <v>1718</v>
      </c>
      <c r="E495" s="10" t="s">
        <v>1719</v>
      </c>
      <c r="F495" s="10">
        <v>35.329000000000001</v>
      </c>
      <c r="G495" s="10">
        <v>43.706000000000003</v>
      </c>
      <c r="H495" s="11">
        <v>70</v>
      </c>
      <c r="I495" s="11">
        <v>420</v>
      </c>
      <c r="J495" s="11"/>
      <c r="K495" s="11"/>
      <c r="L495" s="11"/>
      <c r="M495" s="11"/>
      <c r="N495" s="11"/>
      <c r="O495" s="11"/>
      <c r="P495" s="11"/>
      <c r="Q495" s="11"/>
      <c r="R495" s="11">
        <v>70</v>
      </c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>
        <v>70</v>
      </c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>
        <v>5</v>
      </c>
      <c r="AP495" s="11"/>
      <c r="AQ495" s="11">
        <v>40</v>
      </c>
      <c r="AR495" s="11">
        <v>10</v>
      </c>
      <c r="AS495" s="11">
        <v>10</v>
      </c>
      <c r="AT495" s="11">
        <v>5</v>
      </c>
      <c r="AU495" s="20" t="str">
        <f>HYPERLINK("http://www.openstreetmap.org/?mlat=35.329&amp;mlon=43.706&amp;zoom=12#map=12/35.329/43.706","Maplink1")</f>
        <v>Maplink1</v>
      </c>
      <c r="AV495" s="20" t="str">
        <f>HYPERLINK("https://www.google.iq/maps/search/+35.329,43.706/@35.329,43.706,14z?hl=en","Maplink2")</f>
        <v>Maplink2</v>
      </c>
      <c r="AW495" s="20" t="str">
        <f>HYPERLINK("http://www.bing.com/maps/?lvl=14&amp;sty=h&amp;cp=35.329~43.706&amp;sp=point.35.329_43.706","Maplink3")</f>
        <v>Maplink3</v>
      </c>
    </row>
    <row r="496" spans="1:49" s="19" customFormat="1" x14ac:dyDescent="0.25">
      <c r="A496" s="9">
        <v>14718</v>
      </c>
      <c r="B496" s="10" t="s">
        <v>16</v>
      </c>
      <c r="C496" s="10" t="s">
        <v>882</v>
      </c>
      <c r="D496" s="10" t="s">
        <v>1872</v>
      </c>
      <c r="E496" s="10" t="s">
        <v>1873</v>
      </c>
      <c r="F496" s="10">
        <v>35.33</v>
      </c>
      <c r="G496" s="10">
        <v>43.57</v>
      </c>
      <c r="H496" s="11">
        <v>630</v>
      </c>
      <c r="I496" s="11">
        <v>3780</v>
      </c>
      <c r="J496" s="11"/>
      <c r="K496" s="11"/>
      <c r="L496" s="11"/>
      <c r="M496" s="11"/>
      <c r="N496" s="11"/>
      <c r="O496" s="11"/>
      <c r="P496" s="11"/>
      <c r="Q496" s="11"/>
      <c r="R496" s="11">
        <v>400</v>
      </c>
      <c r="S496" s="11"/>
      <c r="T496" s="11"/>
      <c r="U496" s="11"/>
      <c r="V496" s="11"/>
      <c r="W496" s="11"/>
      <c r="X496" s="11">
        <v>230</v>
      </c>
      <c r="Y496" s="11"/>
      <c r="Z496" s="11"/>
      <c r="AA496" s="11"/>
      <c r="AB496" s="11"/>
      <c r="AC496" s="11">
        <v>630</v>
      </c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>
        <v>60</v>
      </c>
      <c r="AO496" s="11">
        <v>40</v>
      </c>
      <c r="AP496" s="11">
        <v>50</v>
      </c>
      <c r="AQ496" s="11">
        <v>150</v>
      </c>
      <c r="AR496" s="11">
        <v>200</v>
      </c>
      <c r="AS496" s="11">
        <v>80</v>
      </c>
      <c r="AT496" s="11">
        <v>50</v>
      </c>
      <c r="AU496" s="20" t="str">
        <f>HYPERLINK("http://www.openstreetmap.org/?mlat=35.33&amp;mlon=43.57&amp;zoom=12#map=12/35.33/43.57","Maplink1")</f>
        <v>Maplink1</v>
      </c>
      <c r="AV496" s="20" t="str">
        <f>HYPERLINK("https://www.google.iq/maps/search/+35.33,43.57/@35.33,43.57,14z?hl=en","Maplink2")</f>
        <v>Maplink2</v>
      </c>
      <c r="AW496" s="20" t="str">
        <f>HYPERLINK("http://www.bing.com/maps/?lvl=14&amp;sty=h&amp;cp=35.33~43.57&amp;sp=point.35.33_43.57","Maplink3")</f>
        <v>Maplink3</v>
      </c>
    </row>
    <row r="497" spans="1:49" s="19" customFormat="1" x14ac:dyDescent="0.25">
      <c r="A497" s="9">
        <v>14375</v>
      </c>
      <c r="B497" s="10" t="s">
        <v>16</v>
      </c>
      <c r="C497" s="10" t="s">
        <v>1604</v>
      </c>
      <c r="D497" s="10" t="s">
        <v>2109</v>
      </c>
      <c r="E497" s="10" t="s">
        <v>2110</v>
      </c>
      <c r="F497" s="10">
        <v>35.756841999999999</v>
      </c>
      <c r="G497" s="10">
        <v>44.138767000000001</v>
      </c>
      <c r="H497" s="11">
        <v>866</v>
      </c>
      <c r="I497" s="11">
        <v>5196</v>
      </c>
      <c r="J497" s="11"/>
      <c r="K497" s="11"/>
      <c r="L497" s="11"/>
      <c r="M497" s="11"/>
      <c r="N497" s="11"/>
      <c r="O497" s="11"/>
      <c r="P497" s="11"/>
      <c r="Q497" s="11"/>
      <c r="R497" s="11">
        <v>866</v>
      </c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>
        <v>866</v>
      </c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>
        <v>866</v>
      </c>
      <c r="AU497" s="20" t="str">
        <f>HYPERLINK("http://www.openstreetmap.org/?mlat=35.7568&amp;mlon=44.1388&amp;zoom=12#map=12/35.7568/44.1388","Maplink1")</f>
        <v>Maplink1</v>
      </c>
      <c r="AV497" s="20" t="str">
        <f>HYPERLINK("https://www.google.iq/maps/search/+35.7568,44.1388/@35.7568,44.1388,14z?hl=en","Maplink2")</f>
        <v>Maplink2</v>
      </c>
      <c r="AW497" s="20" t="str">
        <f>HYPERLINK("http://www.bing.com/maps/?lvl=14&amp;sty=h&amp;cp=35.7568~44.1388&amp;sp=point.35.7568_44.1388","Maplink3")</f>
        <v>Maplink3</v>
      </c>
    </row>
    <row r="498" spans="1:49" s="19" customFormat="1" x14ac:dyDescent="0.25">
      <c r="A498" s="9">
        <v>14421</v>
      </c>
      <c r="B498" s="10" t="s">
        <v>16</v>
      </c>
      <c r="C498" s="10" t="s">
        <v>1604</v>
      </c>
      <c r="D498" s="10" t="s">
        <v>1874</v>
      </c>
      <c r="E498" s="10" t="s">
        <v>1875</v>
      </c>
      <c r="F498" s="10">
        <v>35.675800000000002</v>
      </c>
      <c r="G498" s="10">
        <v>44.072755999999998</v>
      </c>
      <c r="H498" s="11">
        <v>100</v>
      </c>
      <c r="I498" s="11">
        <v>600</v>
      </c>
      <c r="J498" s="11"/>
      <c r="K498" s="11"/>
      <c r="L498" s="11"/>
      <c r="M498" s="11"/>
      <c r="N498" s="11"/>
      <c r="O498" s="11"/>
      <c r="P498" s="11">
        <v>100</v>
      </c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>
        <v>100</v>
      </c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>
        <v>100</v>
      </c>
      <c r="AU498" s="20" t="str">
        <f>HYPERLINK("http://www.openstreetmap.org/?mlat=35.6758&amp;mlon=44.0728&amp;zoom=12#map=12/35.6758/44.0728","Maplink1")</f>
        <v>Maplink1</v>
      </c>
      <c r="AV498" s="20" t="str">
        <f>HYPERLINK("https://www.google.iq/maps/search/+35.6758,44.0728/@35.6758,44.0728,14z?hl=en","Maplink2")</f>
        <v>Maplink2</v>
      </c>
      <c r="AW498" s="20" t="str">
        <f>HYPERLINK("http://www.bing.com/maps/?lvl=14&amp;sty=h&amp;cp=35.6758~44.0728&amp;sp=point.35.6758_44.0728","Maplink3")</f>
        <v>Maplink3</v>
      </c>
    </row>
    <row r="499" spans="1:49" s="19" customFormat="1" x14ac:dyDescent="0.25">
      <c r="A499" s="9">
        <v>26069</v>
      </c>
      <c r="B499" s="10" t="s">
        <v>16</v>
      </c>
      <c r="C499" s="10" t="s">
        <v>885</v>
      </c>
      <c r="D499" s="10" t="s">
        <v>2111</v>
      </c>
      <c r="E499" s="10" t="s">
        <v>2112</v>
      </c>
      <c r="F499" s="10">
        <v>35.246066904099997</v>
      </c>
      <c r="G499" s="10">
        <v>44.616260996999998</v>
      </c>
      <c r="H499" s="11">
        <v>150</v>
      </c>
      <c r="I499" s="11">
        <v>900</v>
      </c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>
        <v>150</v>
      </c>
      <c r="Z499" s="11"/>
      <c r="AA499" s="11"/>
      <c r="AB499" s="11"/>
      <c r="AC499" s="11">
        <v>150</v>
      </c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>
        <v>150</v>
      </c>
      <c r="AU499" s="20" t="str">
        <f>HYPERLINK("http://www.openstreetmap.org/?mlat=35.2461&amp;mlon=44.6163&amp;zoom=12#map=12/35.2461/44.6163","Maplink1")</f>
        <v>Maplink1</v>
      </c>
      <c r="AV499" s="20" t="str">
        <f>HYPERLINK("https://www.google.iq/maps/search/+35.2461,44.6163/@35.2461,44.6163,14z?hl=en","Maplink2")</f>
        <v>Maplink2</v>
      </c>
      <c r="AW499" s="20" t="str">
        <f>HYPERLINK("http://www.bing.com/maps/?lvl=14&amp;sty=h&amp;cp=35.2461~44.6163&amp;sp=point.35.2461_44.6163","Maplink3")</f>
        <v>Maplink3</v>
      </c>
    </row>
    <row r="500" spans="1:49" s="19" customFormat="1" x14ac:dyDescent="0.25">
      <c r="A500" s="9">
        <v>33226</v>
      </c>
      <c r="B500" s="10" t="s">
        <v>16</v>
      </c>
      <c r="C500" s="10" t="s">
        <v>885</v>
      </c>
      <c r="D500" s="10" t="s">
        <v>2113</v>
      </c>
      <c r="E500" s="10" t="s">
        <v>2114</v>
      </c>
      <c r="F500" s="10">
        <v>35.339210000000001</v>
      </c>
      <c r="G500" s="10">
        <v>44.624639999999999</v>
      </c>
      <c r="H500" s="11">
        <v>25</v>
      </c>
      <c r="I500" s="11">
        <v>150</v>
      </c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>
        <v>25</v>
      </c>
      <c r="Z500" s="11"/>
      <c r="AA500" s="11"/>
      <c r="AB500" s="11"/>
      <c r="AC500" s="11">
        <v>25</v>
      </c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>
        <v>25</v>
      </c>
      <c r="AU500" s="20" t="str">
        <f>HYPERLINK("http://www.openstreetmap.org/?mlat=35.3392&amp;mlon=44.6246&amp;zoom=12#map=12/35.3392/44.6246","Maplink1")</f>
        <v>Maplink1</v>
      </c>
      <c r="AV500" s="20" t="str">
        <f>HYPERLINK("https://www.google.iq/maps/search/+35.3392,44.6246/@35.3392,44.6246,14z?hl=en","Maplink2")</f>
        <v>Maplink2</v>
      </c>
      <c r="AW500" s="20" t="str">
        <f>HYPERLINK("http://www.bing.com/maps/?lvl=14&amp;sty=h&amp;cp=35.3392~44.6246&amp;sp=point.35.3392_44.6246","Maplink3")</f>
        <v>Maplink3</v>
      </c>
    </row>
    <row r="501" spans="1:49" s="19" customFormat="1" x14ac:dyDescent="0.25">
      <c r="A501" s="9">
        <v>15173</v>
      </c>
      <c r="B501" s="10" t="s">
        <v>16</v>
      </c>
      <c r="C501" s="10" t="s">
        <v>885</v>
      </c>
      <c r="D501" s="10" t="s">
        <v>886</v>
      </c>
      <c r="E501" s="10" t="s">
        <v>887</v>
      </c>
      <c r="F501" s="10">
        <v>35.243198999999997</v>
      </c>
      <c r="G501" s="10">
        <v>44.279586999999999</v>
      </c>
      <c r="H501" s="11">
        <v>85</v>
      </c>
      <c r="I501" s="11">
        <v>510</v>
      </c>
      <c r="J501" s="11"/>
      <c r="K501" s="11"/>
      <c r="L501" s="11"/>
      <c r="M501" s="11"/>
      <c r="N501" s="11"/>
      <c r="O501" s="11"/>
      <c r="P501" s="11"/>
      <c r="Q501" s="11"/>
      <c r="R501" s="11">
        <v>85</v>
      </c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>
        <v>85</v>
      </c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>
        <v>85</v>
      </c>
      <c r="AO501" s="11"/>
      <c r="AP501" s="11"/>
      <c r="AQ501" s="11"/>
      <c r="AR501" s="11"/>
      <c r="AS501" s="11"/>
      <c r="AT501" s="11"/>
      <c r="AU501" s="20" t="str">
        <f>HYPERLINK("http://www.openstreetmap.org/?mlat=35.2432&amp;mlon=44.2796&amp;zoom=12#map=12/35.2432/44.2796","Maplink1")</f>
        <v>Maplink1</v>
      </c>
      <c r="AV501" s="20" t="str">
        <f>HYPERLINK("https://www.google.iq/maps/search/+35.2432,44.2796/@35.2432,44.2796,14z?hl=en","Maplink2")</f>
        <v>Maplink2</v>
      </c>
      <c r="AW501" s="20" t="str">
        <f>HYPERLINK("http://www.bing.com/maps/?lvl=14&amp;sty=h&amp;cp=35.2432~44.2796&amp;sp=point.35.2432_44.2796","Maplink3")</f>
        <v>Maplink3</v>
      </c>
    </row>
    <row r="502" spans="1:49" s="19" customFormat="1" x14ac:dyDescent="0.25">
      <c r="A502" s="9">
        <v>14786</v>
      </c>
      <c r="B502" s="10" t="s">
        <v>16</v>
      </c>
      <c r="C502" s="10" t="s">
        <v>885</v>
      </c>
      <c r="D502" s="10" t="s">
        <v>1876</v>
      </c>
      <c r="E502" s="10" t="s">
        <v>1877</v>
      </c>
      <c r="F502" s="10">
        <v>35.138296822500003</v>
      </c>
      <c r="G502" s="10">
        <v>44.439535191300003</v>
      </c>
      <c r="H502" s="11">
        <v>120</v>
      </c>
      <c r="I502" s="11">
        <v>720</v>
      </c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>
        <v>120</v>
      </c>
      <c r="Z502" s="11"/>
      <c r="AA502" s="11"/>
      <c r="AB502" s="11"/>
      <c r="AC502" s="11">
        <v>120</v>
      </c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>
        <v>120</v>
      </c>
      <c r="AU502" s="20" t="str">
        <f>HYPERLINK("http://www.openstreetmap.org/?mlat=35.1383&amp;mlon=44.4395&amp;zoom=12#map=12/35.1383/44.4395","Maplink1")</f>
        <v>Maplink1</v>
      </c>
      <c r="AV502" s="20" t="str">
        <f>HYPERLINK("https://www.google.iq/maps/search/+35.1383,44.4395/@35.1383,44.4395,14z?hl=en","Maplink2")</f>
        <v>Maplink2</v>
      </c>
      <c r="AW502" s="20" t="str">
        <f>HYPERLINK("http://www.bing.com/maps/?lvl=14&amp;sty=h&amp;cp=35.1383~44.4395&amp;sp=point.35.1383_44.4395","Maplink3")</f>
        <v>Maplink3</v>
      </c>
    </row>
    <row r="503" spans="1:49" s="19" customFormat="1" x14ac:dyDescent="0.25">
      <c r="A503" s="9">
        <v>14545</v>
      </c>
      <c r="B503" s="10" t="s">
        <v>16</v>
      </c>
      <c r="C503" s="10" t="s">
        <v>885</v>
      </c>
      <c r="D503" s="10" t="s">
        <v>2115</v>
      </c>
      <c r="E503" s="10" t="s">
        <v>2116</v>
      </c>
      <c r="F503" s="10">
        <v>35.314923999999998</v>
      </c>
      <c r="G503" s="10">
        <v>44.562221999999998</v>
      </c>
      <c r="H503" s="11">
        <v>60</v>
      </c>
      <c r="I503" s="11">
        <v>360</v>
      </c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>
        <v>60</v>
      </c>
      <c r="Z503" s="11"/>
      <c r="AA503" s="11"/>
      <c r="AB503" s="11"/>
      <c r="AC503" s="11">
        <v>60</v>
      </c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>
        <v>60</v>
      </c>
      <c r="AU503" s="20" t="str">
        <f>HYPERLINK("http://www.openstreetmap.org/?mlat=35.3149&amp;mlon=44.5622&amp;zoom=12#map=12/35.3149/44.5622","Maplink1")</f>
        <v>Maplink1</v>
      </c>
      <c r="AV503" s="20" t="str">
        <f>HYPERLINK("https://www.google.iq/maps/search/+35.3149,44.5622/@35.3149,44.5622,14z?hl=en","Maplink2")</f>
        <v>Maplink2</v>
      </c>
      <c r="AW503" s="20" t="str">
        <f>HYPERLINK("http://www.bing.com/maps/?lvl=14&amp;sty=h&amp;cp=35.3149~44.5622&amp;sp=point.35.3149_44.5622","Maplink3")</f>
        <v>Maplink3</v>
      </c>
    </row>
    <row r="504" spans="1:49" s="19" customFormat="1" x14ac:dyDescent="0.25">
      <c r="A504" s="9">
        <v>24238</v>
      </c>
      <c r="B504" s="10" t="s">
        <v>16</v>
      </c>
      <c r="C504" s="10" t="s">
        <v>885</v>
      </c>
      <c r="D504" s="10" t="s">
        <v>1878</v>
      </c>
      <c r="E504" s="10" t="s">
        <v>1879</v>
      </c>
      <c r="F504" s="10">
        <v>35.147045558599999</v>
      </c>
      <c r="G504" s="10">
        <v>44.452229819400003</v>
      </c>
      <c r="H504" s="11">
        <v>80</v>
      </c>
      <c r="I504" s="11">
        <v>480</v>
      </c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>
        <v>80</v>
      </c>
      <c r="Z504" s="11"/>
      <c r="AA504" s="11"/>
      <c r="AB504" s="11"/>
      <c r="AC504" s="11">
        <v>80</v>
      </c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>
        <v>80</v>
      </c>
      <c r="AU504" s="20" t="str">
        <f>HYPERLINK("http://www.openstreetmap.org/?mlat=35.147&amp;mlon=44.4522&amp;zoom=12#map=12/35.147/44.4522","Maplink1")</f>
        <v>Maplink1</v>
      </c>
      <c r="AV504" s="20" t="str">
        <f>HYPERLINK("https://www.google.iq/maps/search/+35.147,44.4522/@35.147,44.4522,14z?hl=en","Maplink2")</f>
        <v>Maplink2</v>
      </c>
      <c r="AW504" s="20" t="str">
        <f>HYPERLINK("http://www.bing.com/maps/?lvl=14&amp;sty=h&amp;cp=35.147~44.4522&amp;sp=point.35.147_44.4522","Maplink3")</f>
        <v>Maplink3</v>
      </c>
    </row>
    <row r="505" spans="1:49" s="19" customFormat="1" x14ac:dyDescent="0.25">
      <c r="A505" s="9">
        <v>21453</v>
      </c>
      <c r="B505" s="10" t="s">
        <v>16</v>
      </c>
      <c r="C505" s="10" t="s">
        <v>885</v>
      </c>
      <c r="D505" s="10" t="s">
        <v>1880</v>
      </c>
      <c r="E505" s="10" t="s">
        <v>1881</v>
      </c>
      <c r="F505" s="10">
        <v>35.143666141399997</v>
      </c>
      <c r="G505" s="10">
        <v>44.4387343872</v>
      </c>
      <c r="H505" s="11">
        <v>60</v>
      </c>
      <c r="I505" s="11">
        <v>360</v>
      </c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>
        <v>60</v>
      </c>
      <c r="Z505" s="11"/>
      <c r="AA505" s="11"/>
      <c r="AB505" s="11"/>
      <c r="AC505" s="11">
        <v>60</v>
      </c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>
        <v>60</v>
      </c>
      <c r="AU505" s="20" t="str">
        <f>HYPERLINK("http://www.openstreetmap.org/?mlat=35.1437&amp;mlon=44.4387&amp;zoom=12#map=12/35.1437/44.4387","Maplink1")</f>
        <v>Maplink1</v>
      </c>
      <c r="AV505" s="20" t="str">
        <f>HYPERLINK("https://www.google.iq/maps/search/+35.1437,44.4387/@35.1437,44.4387,14z?hl=en","Maplink2")</f>
        <v>Maplink2</v>
      </c>
      <c r="AW505" s="20" t="str">
        <f>HYPERLINK("http://www.bing.com/maps/?lvl=14&amp;sty=h&amp;cp=35.1437~44.4387&amp;sp=point.35.1437_44.4387","Maplink3")</f>
        <v>Maplink3</v>
      </c>
    </row>
    <row r="506" spans="1:49" s="19" customFormat="1" x14ac:dyDescent="0.25">
      <c r="A506" s="9">
        <v>31725</v>
      </c>
      <c r="B506" s="10" t="s">
        <v>16</v>
      </c>
      <c r="C506" s="10" t="s">
        <v>885</v>
      </c>
      <c r="D506" s="10" t="s">
        <v>1882</v>
      </c>
      <c r="E506" s="10" t="s">
        <v>1883</v>
      </c>
      <c r="F506" s="10">
        <v>35.137774</v>
      </c>
      <c r="G506" s="10">
        <v>44.452089999999998</v>
      </c>
      <c r="H506" s="11">
        <v>90</v>
      </c>
      <c r="I506" s="11">
        <v>540</v>
      </c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>
        <v>90</v>
      </c>
      <c r="Z506" s="11"/>
      <c r="AA506" s="11"/>
      <c r="AB506" s="11"/>
      <c r="AC506" s="11">
        <v>90</v>
      </c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>
        <v>90</v>
      </c>
      <c r="AU506" s="20" t="str">
        <f>HYPERLINK("http://www.openstreetmap.org/?mlat=35.1378&amp;mlon=44.4521&amp;zoom=12#map=12/35.1378/44.4521","Maplink1")</f>
        <v>Maplink1</v>
      </c>
      <c r="AV506" s="20" t="str">
        <f>HYPERLINK("https://www.google.iq/maps/search/+35.1378,44.4521/@35.1378,44.4521,14z?hl=en","Maplink2")</f>
        <v>Maplink2</v>
      </c>
      <c r="AW506" s="20" t="str">
        <f>HYPERLINK("http://www.bing.com/maps/?lvl=14&amp;sty=h&amp;cp=35.1378~44.4521&amp;sp=point.35.1378_44.4521","Maplink3")</f>
        <v>Maplink3</v>
      </c>
    </row>
    <row r="507" spans="1:49" s="19" customFormat="1" x14ac:dyDescent="0.25">
      <c r="A507" s="9">
        <v>33227</v>
      </c>
      <c r="B507" s="10" t="s">
        <v>16</v>
      </c>
      <c r="C507" s="10" t="s">
        <v>885</v>
      </c>
      <c r="D507" s="10" t="s">
        <v>2117</v>
      </c>
      <c r="E507" s="10" t="s">
        <v>2118</v>
      </c>
      <c r="F507" s="10">
        <v>35.349350000000001</v>
      </c>
      <c r="G507" s="10">
        <v>44.486510000000003</v>
      </c>
      <c r="H507" s="11">
        <v>45</v>
      </c>
      <c r="I507" s="11">
        <v>270</v>
      </c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>
        <v>45</v>
      </c>
      <c r="Z507" s="11"/>
      <c r="AA507" s="11"/>
      <c r="AB507" s="11"/>
      <c r="AC507" s="11">
        <v>45</v>
      </c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>
        <v>45</v>
      </c>
      <c r="AU507" s="20" t="str">
        <f>HYPERLINK("http://www.openstreetmap.org/?mlat=35.3494&amp;mlon=44.4865&amp;zoom=12#map=12/35.3494/44.4865","Maplink1")</f>
        <v>Maplink1</v>
      </c>
      <c r="AV507" s="20" t="str">
        <f>HYPERLINK("https://www.google.iq/maps/search/+35.3494,44.4865/@35.3494,44.4865,14z?hl=en","Maplink2")</f>
        <v>Maplink2</v>
      </c>
      <c r="AW507" s="20" t="str">
        <f>HYPERLINK("http://www.bing.com/maps/?lvl=14&amp;sty=h&amp;cp=35.3494~44.4865&amp;sp=point.35.3494_44.4865","Maplink3")</f>
        <v>Maplink3</v>
      </c>
    </row>
    <row r="508" spans="1:49" s="19" customFormat="1" x14ac:dyDescent="0.25">
      <c r="A508" s="9">
        <v>25557</v>
      </c>
      <c r="B508" s="10" t="s">
        <v>16</v>
      </c>
      <c r="C508" s="10" t="s">
        <v>885</v>
      </c>
      <c r="D508" s="10" t="s">
        <v>2119</v>
      </c>
      <c r="E508" s="10" t="s">
        <v>2120</v>
      </c>
      <c r="F508" s="10">
        <v>35.418248375700003</v>
      </c>
      <c r="G508" s="10">
        <v>44.628895098599997</v>
      </c>
      <c r="H508" s="11">
        <v>150</v>
      </c>
      <c r="I508" s="11">
        <v>900</v>
      </c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>
        <v>150</v>
      </c>
      <c r="Z508" s="11"/>
      <c r="AA508" s="11"/>
      <c r="AB508" s="11"/>
      <c r="AC508" s="11">
        <v>150</v>
      </c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>
        <v>150</v>
      </c>
      <c r="AU508" s="20" t="str">
        <f>HYPERLINK("http://www.openstreetmap.org/?mlat=35.4182&amp;mlon=44.6289&amp;zoom=12#map=12/35.4182/44.6289","Maplink1")</f>
        <v>Maplink1</v>
      </c>
      <c r="AV508" s="20" t="str">
        <f>HYPERLINK("https://www.google.iq/maps/search/+35.4182,44.6289/@35.4182,44.6289,14z?hl=en","Maplink2")</f>
        <v>Maplink2</v>
      </c>
      <c r="AW508" s="20" t="str">
        <f>HYPERLINK("http://www.bing.com/maps/?lvl=14&amp;sty=h&amp;cp=35.4182~44.6289&amp;sp=point.35.4182_44.6289","Maplink3")</f>
        <v>Maplink3</v>
      </c>
    </row>
    <row r="509" spans="1:49" s="19" customFormat="1" x14ac:dyDescent="0.25">
      <c r="A509" s="9">
        <v>15139</v>
      </c>
      <c r="B509" s="10" t="s">
        <v>16</v>
      </c>
      <c r="C509" s="10" t="s">
        <v>885</v>
      </c>
      <c r="D509" s="10" t="s">
        <v>2121</v>
      </c>
      <c r="E509" s="10" t="s">
        <v>2122</v>
      </c>
      <c r="F509" s="10">
        <v>35.203330000000001</v>
      </c>
      <c r="G509" s="10">
        <v>44.364440000000002</v>
      </c>
      <c r="H509" s="11">
        <v>100</v>
      </c>
      <c r="I509" s="11">
        <v>600</v>
      </c>
      <c r="J509" s="11"/>
      <c r="K509" s="11"/>
      <c r="L509" s="11"/>
      <c r="M509" s="11"/>
      <c r="N509" s="11"/>
      <c r="O509" s="11"/>
      <c r="P509" s="11"/>
      <c r="Q509" s="11"/>
      <c r="R509" s="11">
        <v>100</v>
      </c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>
        <v>100</v>
      </c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>
        <v>100</v>
      </c>
      <c r="AQ509" s="11"/>
      <c r="AR509" s="11"/>
      <c r="AS509" s="11"/>
      <c r="AT509" s="11"/>
      <c r="AU509" s="20" t="str">
        <f>HYPERLINK("http://www.openstreetmap.org/?mlat=35.2033&amp;mlon=44.3644&amp;zoom=12#map=12/35.2033/44.3644","Maplink1")</f>
        <v>Maplink1</v>
      </c>
      <c r="AV509" s="20" t="str">
        <f>HYPERLINK("https://www.google.iq/maps/search/+35.2033,44.3644/@35.2033,44.3644,14z?hl=en","Maplink2")</f>
        <v>Maplink2</v>
      </c>
      <c r="AW509" s="20" t="str">
        <f>HYPERLINK("http://www.bing.com/maps/?lvl=14&amp;sty=h&amp;cp=35.2033~44.3644&amp;sp=point.35.2033_44.3644","Maplink3")</f>
        <v>Maplink3</v>
      </c>
    </row>
    <row r="510" spans="1:49" s="19" customFormat="1" x14ac:dyDescent="0.25">
      <c r="A510" s="9">
        <v>29631</v>
      </c>
      <c r="B510" s="10" t="s">
        <v>16</v>
      </c>
      <c r="C510" s="10" t="s">
        <v>885</v>
      </c>
      <c r="D510" s="10" t="s">
        <v>888</v>
      </c>
      <c r="E510" s="10" t="s">
        <v>889</v>
      </c>
      <c r="F510" s="10">
        <v>35.066887999999999</v>
      </c>
      <c r="G510" s="10">
        <v>44.388860000000001</v>
      </c>
      <c r="H510" s="11">
        <v>81</v>
      </c>
      <c r="I510" s="11">
        <v>486</v>
      </c>
      <c r="J510" s="11"/>
      <c r="K510" s="11"/>
      <c r="L510" s="11"/>
      <c r="M510" s="11"/>
      <c r="N510" s="11"/>
      <c r="O510" s="11"/>
      <c r="P510" s="11"/>
      <c r="Q510" s="11"/>
      <c r="R510" s="11">
        <v>81</v>
      </c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>
        <v>81</v>
      </c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>
        <v>81</v>
      </c>
      <c r="AQ510" s="11"/>
      <c r="AR510" s="11"/>
      <c r="AS510" s="11"/>
      <c r="AT510" s="11"/>
      <c r="AU510" s="20" t="str">
        <f>HYPERLINK("http://www.openstreetmap.org/?mlat=35.0669&amp;mlon=44.3889&amp;zoom=12#map=12/35.0669/44.3889","Maplink1")</f>
        <v>Maplink1</v>
      </c>
      <c r="AV510" s="20" t="str">
        <f>HYPERLINK("https://www.google.iq/maps/search/+35.0669,44.3889/@35.0669,44.3889,14z?hl=en","Maplink2")</f>
        <v>Maplink2</v>
      </c>
      <c r="AW510" s="20" t="str">
        <f>HYPERLINK("http://www.bing.com/maps/?lvl=14&amp;sty=h&amp;cp=35.0669~44.3889&amp;sp=point.35.0669_44.3889","Maplink3")</f>
        <v>Maplink3</v>
      </c>
    </row>
    <row r="511" spans="1:49" s="19" customFormat="1" x14ac:dyDescent="0.25">
      <c r="A511" s="9">
        <v>21711</v>
      </c>
      <c r="B511" s="10" t="s">
        <v>16</v>
      </c>
      <c r="C511" s="10" t="s">
        <v>885</v>
      </c>
      <c r="D511" s="10" t="s">
        <v>1884</v>
      </c>
      <c r="E511" s="10" t="s">
        <v>1885</v>
      </c>
      <c r="F511" s="10">
        <v>35.318976999999997</v>
      </c>
      <c r="G511" s="10">
        <v>44.517829999999996</v>
      </c>
      <c r="H511" s="11">
        <v>500</v>
      </c>
      <c r="I511" s="11">
        <v>3000</v>
      </c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>
        <v>500</v>
      </c>
      <c r="Z511" s="11"/>
      <c r="AA511" s="11"/>
      <c r="AB511" s="11"/>
      <c r="AC511" s="11">
        <v>500</v>
      </c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>
        <v>500</v>
      </c>
      <c r="AU511" s="20" t="str">
        <f>HYPERLINK("http://www.openstreetmap.org/?mlat=35.319&amp;mlon=44.5178&amp;zoom=12#map=12/35.319/44.5178","Maplink1")</f>
        <v>Maplink1</v>
      </c>
      <c r="AV511" s="20" t="str">
        <f>HYPERLINK("https://www.google.iq/maps/search/+35.319,44.5178/@35.319,44.5178,14z?hl=en","Maplink2")</f>
        <v>Maplink2</v>
      </c>
      <c r="AW511" s="20" t="str">
        <f>HYPERLINK("http://www.bing.com/maps/?lvl=14&amp;sty=h&amp;cp=35.319~44.5178&amp;sp=point.35.319_44.5178","Maplink3")</f>
        <v>Maplink3</v>
      </c>
    </row>
    <row r="512" spans="1:49" s="19" customFormat="1" x14ac:dyDescent="0.25">
      <c r="A512" s="9">
        <v>21814</v>
      </c>
      <c r="B512" s="10" t="s">
        <v>16</v>
      </c>
      <c r="C512" s="10" t="s">
        <v>885</v>
      </c>
      <c r="D512" s="10" t="s">
        <v>2123</v>
      </c>
      <c r="E512" s="10" t="s">
        <v>2124</v>
      </c>
      <c r="F512" s="10">
        <v>35.200310000000002</v>
      </c>
      <c r="G512" s="10">
        <v>44.355989999999998</v>
      </c>
      <c r="H512" s="11">
        <v>70</v>
      </c>
      <c r="I512" s="11">
        <v>420</v>
      </c>
      <c r="J512" s="11"/>
      <c r="K512" s="11"/>
      <c r="L512" s="11"/>
      <c r="M512" s="11"/>
      <c r="N512" s="11"/>
      <c r="O512" s="11"/>
      <c r="P512" s="11"/>
      <c r="Q512" s="11"/>
      <c r="R512" s="11">
        <v>70</v>
      </c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>
        <v>10</v>
      </c>
      <c r="AD512" s="11"/>
      <c r="AE512" s="11"/>
      <c r="AF512" s="11">
        <v>60</v>
      </c>
      <c r="AG512" s="11"/>
      <c r="AH512" s="11"/>
      <c r="AI512" s="11"/>
      <c r="AJ512" s="11"/>
      <c r="AK512" s="11"/>
      <c r="AL512" s="11"/>
      <c r="AM512" s="11"/>
      <c r="AN512" s="11"/>
      <c r="AO512" s="11"/>
      <c r="AP512" s="11">
        <v>70</v>
      </c>
      <c r="AQ512" s="11"/>
      <c r="AR512" s="11"/>
      <c r="AS512" s="11"/>
      <c r="AT512" s="11"/>
      <c r="AU512" s="20" t="str">
        <f>HYPERLINK("http://www.openstreetmap.org/?mlat=35.2003&amp;mlon=44.356&amp;zoom=12#map=12/35.2003/44.356","Maplink1")</f>
        <v>Maplink1</v>
      </c>
      <c r="AV512" s="20" t="str">
        <f>HYPERLINK("https://www.google.iq/maps/search/+35.2003,44.356/@35.2003,44.356,14z?hl=en","Maplink2")</f>
        <v>Maplink2</v>
      </c>
      <c r="AW512" s="20" t="str">
        <f>HYPERLINK("http://www.bing.com/maps/?lvl=14&amp;sty=h&amp;cp=35.2003~44.356&amp;sp=point.35.2003_44.356","Maplink3")</f>
        <v>Maplink3</v>
      </c>
    </row>
    <row r="513" spans="1:49" s="19" customFormat="1" x14ac:dyDescent="0.25">
      <c r="A513" s="9">
        <v>14666</v>
      </c>
      <c r="B513" s="10" t="s">
        <v>16</v>
      </c>
      <c r="C513" s="10" t="s">
        <v>885</v>
      </c>
      <c r="D513" s="10" t="s">
        <v>2125</v>
      </c>
      <c r="E513" s="10" t="s">
        <v>2126</v>
      </c>
      <c r="F513" s="10">
        <v>35.228589999999997</v>
      </c>
      <c r="G513" s="10">
        <v>44.633470000000003</v>
      </c>
      <c r="H513" s="11">
        <v>30</v>
      </c>
      <c r="I513" s="11">
        <v>180</v>
      </c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>
        <v>30</v>
      </c>
      <c r="Z513" s="11"/>
      <c r="AA513" s="11"/>
      <c r="AB513" s="11"/>
      <c r="AC513" s="11">
        <v>30</v>
      </c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>
        <v>30</v>
      </c>
      <c r="AU513" s="20" t="str">
        <f>HYPERLINK("http://www.openstreetmap.org/?mlat=35.2286&amp;mlon=44.6335&amp;zoom=12#map=12/35.2286/44.6335","Maplink1")</f>
        <v>Maplink1</v>
      </c>
      <c r="AV513" s="20" t="str">
        <f>HYPERLINK("https://www.google.iq/maps/search/+35.2286,44.6335/@35.2286,44.6335,14z?hl=en","Maplink2")</f>
        <v>Maplink2</v>
      </c>
      <c r="AW513" s="20" t="str">
        <f>HYPERLINK("http://www.bing.com/maps/?lvl=14&amp;sty=h&amp;cp=35.2286~44.6335&amp;sp=point.35.2286_44.6335","Maplink3")</f>
        <v>Maplink3</v>
      </c>
    </row>
    <row r="514" spans="1:49" s="19" customFormat="1" x14ac:dyDescent="0.25">
      <c r="A514" s="9">
        <v>15088</v>
      </c>
      <c r="B514" s="10" t="s">
        <v>16</v>
      </c>
      <c r="C514" s="10" t="s">
        <v>885</v>
      </c>
      <c r="D514" s="10" t="s">
        <v>2127</v>
      </c>
      <c r="E514" s="10" t="s">
        <v>2128</v>
      </c>
      <c r="F514" s="10">
        <v>35.361649999999997</v>
      </c>
      <c r="G514" s="10">
        <v>44.472279999999998</v>
      </c>
      <c r="H514" s="11">
        <v>40</v>
      </c>
      <c r="I514" s="11">
        <v>240</v>
      </c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>
        <v>40</v>
      </c>
      <c r="Z514" s="11"/>
      <c r="AA514" s="11"/>
      <c r="AB514" s="11"/>
      <c r="AC514" s="11">
        <v>40</v>
      </c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>
        <v>40</v>
      </c>
      <c r="AU514" s="20" t="str">
        <f>HYPERLINK("http://www.openstreetmap.org/?mlat=35.3616&amp;mlon=44.4723&amp;zoom=12#map=12/35.3616/44.4723","Maplink1")</f>
        <v>Maplink1</v>
      </c>
      <c r="AV514" s="20" t="str">
        <f>HYPERLINK("https://www.google.iq/maps/search/+35.3616,44.4723/@35.3616,44.4723,14z?hl=en","Maplink2")</f>
        <v>Maplink2</v>
      </c>
      <c r="AW514" s="20" t="str">
        <f>HYPERLINK("http://www.bing.com/maps/?lvl=14&amp;sty=h&amp;cp=35.3616~44.4723&amp;sp=point.35.3616_44.4723","Maplink3")</f>
        <v>Maplink3</v>
      </c>
    </row>
    <row r="515" spans="1:49" s="19" customFormat="1" x14ac:dyDescent="0.25">
      <c r="A515" s="9">
        <v>14788</v>
      </c>
      <c r="B515" s="10" t="s">
        <v>16</v>
      </c>
      <c r="C515" s="10" t="s">
        <v>885</v>
      </c>
      <c r="D515" s="10" t="s">
        <v>2129</v>
      </c>
      <c r="E515" s="10" t="s">
        <v>2130</v>
      </c>
      <c r="F515" s="10">
        <v>35.210084999999999</v>
      </c>
      <c r="G515" s="10">
        <v>44.38053</v>
      </c>
      <c r="H515" s="11">
        <v>40</v>
      </c>
      <c r="I515" s="11">
        <v>240</v>
      </c>
      <c r="J515" s="11"/>
      <c r="K515" s="11"/>
      <c r="L515" s="11"/>
      <c r="M515" s="11"/>
      <c r="N515" s="11"/>
      <c r="O515" s="11"/>
      <c r="P515" s="11"/>
      <c r="Q515" s="11"/>
      <c r="R515" s="11">
        <v>40</v>
      </c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>
        <v>40</v>
      </c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>
        <v>40</v>
      </c>
      <c r="AQ515" s="11"/>
      <c r="AR515" s="11"/>
      <c r="AS515" s="11"/>
      <c r="AT515" s="11"/>
      <c r="AU515" s="20" t="str">
        <f>HYPERLINK("http://www.openstreetmap.org/?mlat=35.2101&amp;mlon=44.3805&amp;zoom=12#map=12/35.2101/44.3805","Maplink1")</f>
        <v>Maplink1</v>
      </c>
      <c r="AV515" s="20" t="str">
        <f>HYPERLINK("https://www.google.iq/maps/search/+35.2101,44.3805/@35.2101,44.3805,14z?hl=en","Maplink2")</f>
        <v>Maplink2</v>
      </c>
      <c r="AW515" s="20" t="str">
        <f>HYPERLINK("http://www.bing.com/maps/?lvl=14&amp;sty=h&amp;cp=35.2101~44.3805&amp;sp=point.35.2101_44.3805","Maplink3")</f>
        <v>Maplink3</v>
      </c>
    </row>
    <row r="516" spans="1:49" s="19" customFormat="1" x14ac:dyDescent="0.25">
      <c r="A516" s="9">
        <v>14829</v>
      </c>
      <c r="B516" s="10" t="s">
        <v>16</v>
      </c>
      <c r="C516" s="10" t="s">
        <v>16</v>
      </c>
      <c r="D516" s="10" t="s">
        <v>2131</v>
      </c>
      <c r="E516" s="10" t="s">
        <v>2132</v>
      </c>
      <c r="F516" s="10">
        <v>35.428199999999997</v>
      </c>
      <c r="G516" s="10">
        <v>43.991999999999997</v>
      </c>
      <c r="H516" s="11">
        <v>50</v>
      </c>
      <c r="I516" s="11">
        <v>300</v>
      </c>
      <c r="J516" s="11"/>
      <c r="K516" s="11"/>
      <c r="L516" s="11"/>
      <c r="M516" s="11"/>
      <c r="N516" s="11"/>
      <c r="O516" s="11"/>
      <c r="P516" s="11"/>
      <c r="Q516" s="11"/>
      <c r="R516" s="11">
        <v>50</v>
      </c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>
        <v>50</v>
      </c>
      <c r="AG516" s="11"/>
      <c r="AH516" s="11"/>
      <c r="AI516" s="11"/>
      <c r="AJ516" s="11"/>
      <c r="AK516" s="11"/>
      <c r="AL516" s="11"/>
      <c r="AM516" s="11"/>
      <c r="AN516" s="11">
        <v>5</v>
      </c>
      <c r="AO516" s="11"/>
      <c r="AP516" s="11">
        <v>45</v>
      </c>
      <c r="AQ516" s="11"/>
      <c r="AR516" s="11"/>
      <c r="AS516" s="11"/>
      <c r="AT516" s="11"/>
      <c r="AU516" s="20" t="str">
        <f>HYPERLINK("http://www.openstreetmap.org/?mlat=35.4282&amp;mlon=43.992&amp;zoom=12#map=12/35.4282/43.992","Maplink1")</f>
        <v>Maplink1</v>
      </c>
      <c r="AV516" s="20" t="str">
        <f>HYPERLINK("https://www.google.iq/maps/search/+35.4282,43.992/@35.4282,43.992,14z?hl=en","Maplink2")</f>
        <v>Maplink2</v>
      </c>
      <c r="AW516" s="20" t="str">
        <f>HYPERLINK("http://www.bing.com/maps/?lvl=14&amp;sty=h&amp;cp=35.4282~43.992&amp;sp=point.35.4282_43.992","Maplink3")</f>
        <v>Maplink3</v>
      </c>
    </row>
    <row r="517" spans="1:49" s="19" customFormat="1" x14ac:dyDescent="0.25">
      <c r="A517" s="9">
        <v>15363</v>
      </c>
      <c r="B517" s="10" t="s">
        <v>16</v>
      </c>
      <c r="C517" s="10" t="s">
        <v>16</v>
      </c>
      <c r="D517" s="10" t="s">
        <v>890</v>
      </c>
      <c r="E517" s="10" t="s">
        <v>891</v>
      </c>
      <c r="F517" s="10">
        <v>35.472867999999998</v>
      </c>
      <c r="G517" s="10">
        <v>44.146172999999997</v>
      </c>
      <c r="H517" s="11">
        <v>78</v>
      </c>
      <c r="I517" s="11">
        <v>468</v>
      </c>
      <c r="J517" s="11"/>
      <c r="K517" s="11"/>
      <c r="L517" s="11"/>
      <c r="M517" s="11"/>
      <c r="N517" s="11"/>
      <c r="O517" s="11"/>
      <c r="P517" s="11"/>
      <c r="Q517" s="11"/>
      <c r="R517" s="11">
        <v>78</v>
      </c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>
        <v>60</v>
      </c>
      <c r="AD517" s="11">
        <v>18</v>
      </c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>
        <v>78</v>
      </c>
      <c r="AQ517" s="11"/>
      <c r="AR517" s="11"/>
      <c r="AS517" s="11"/>
      <c r="AT517" s="11"/>
      <c r="AU517" s="20" t="str">
        <f>HYPERLINK("http://www.openstreetmap.org/?mlat=35.4729&amp;mlon=44.1462&amp;zoom=12#map=12/35.4729/44.1462","Maplink1")</f>
        <v>Maplink1</v>
      </c>
      <c r="AV517" s="20" t="str">
        <f>HYPERLINK("https://www.google.iq/maps/search/+35.4729,44.1462/@35.4729,44.1462,14z?hl=en","Maplink2")</f>
        <v>Maplink2</v>
      </c>
      <c r="AW517" s="20" t="str">
        <f>HYPERLINK("http://www.bing.com/maps/?lvl=14&amp;sty=h&amp;cp=35.4729~44.1462&amp;sp=point.35.4729_44.1462","Maplink3")</f>
        <v>Maplink3</v>
      </c>
    </row>
    <row r="518" spans="1:49" s="19" customFormat="1" x14ac:dyDescent="0.25">
      <c r="A518" s="9">
        <v>22289</v>
      </c>
      <c r="B518" s="10" t="s">
        <v>16</v>
      </c>
      <c r="C518" s="10" t="s">
        <v>16</v>
      </c>
      <c r="D518" s="10" t="s">
        <v>1886</v>
      </c>
      <c r="E518" s="10" t="s">
        <v>1887</v>
      </c>
      <c r="F518" s="10">
        <v>35.4846</v>
      </c>
      <c r="G518" s="10">
        <v>44.347900000000003</v>
      </c>
      <c r="H518" s="11">
        <v>1250</v>
      </c>
      <c r="I518" s="11">
        <v>7500</v>
      </c>
      <c r="J518" s="11"/>
      <c r="K518" s="11"/>
      <c r="L518" s="11"/>
      <c r="M518" s="11"/>
      <c r="N518" s="11"/>
      <c r="O518" s="11"/>
      <c r="P518" s="11">
        <v>1000</v>
      </c>
      <c r="Q518" s="11"/>
      <c r="R518" s="11"/>
      <c r="S518" s="11"/>
      <c r="T518" s="11"/>
      <c r="U518" s="11"/>
      <c r="V518" s="11"/>
      <c r="W518" s="11"/>
      <c r="X518" s="11"/>
      <c r="Y518" s="11">
        <v>250</v>
      </c>
      <c r="Z518" s="11"/>
      <c r="AA518" s="11"/>
      <c r="AB518" s="11"/>
      <c r="AC518" s="11">
        <v>1250</v>
      </c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>
        <v>1250</v>
      </c>
      <c r="AU518" s="20" t="str">
        <f>HYPERLINK("http://www.openstreetmap.org/?mlat=35.4846&amp;mlon=44.3479&amp;zoom=12#map=12/35.4846/44.3479","Maplink1")</f>
        <v>Maplink1</v>
      </c>
      <c r="AV518" s="20" t="str">
        <f>HYPERLINK("https://www.google.iq/maps/search/+35.4846,44.3479/@35.4846,44.3479,14z?hl=en","Maplink2")</f>
        <v>Maplink2</v>
      </c>
      <c r="AW518" s="20" t="str">
        <f>HYPERLINK("http://www.bing.com/maps/?lvl=14&amp;sty=h&amp;cp=35.4846~44.3479&amp;sp=point.35.4846_44.3479","Maplink3")</f>
        <v>Maplink3</v>
      </c>
    </row>
    <row r="519" spans="1:49" s="19" customFormat="1" x14ac:dyDescent="0.25">
      <c r="A519" s="9">
        <v>25708</v>
      </c>
      <c r="B519" s="10" t="s">
        <v>16</v>
      </c>
      <c r="C519" s="10" t="s">
        <v>16</v>
      </c>
      <c r="D519" s="10" t="s">
        <v>892</v>
      </c>
      <c r="E519" s="10" t="s">
        <v>893</v>
      </c>
      <c r="F519" s="10">
        <v>35.455242565399999</v>
      </c>
      <c r="G519" s="10">
        <v>44.173804480199998</v>
      </c>
      <c r="H519" s="11">
        <v>85</v>
      </c>
      <c r="I519" s="11">
        <v>510</v>
      </c>
      <c r="J519" s="11"/>
      <c r="K519" s="11"/>
      <c r="L519" s="11"/>
      <c r="M519" s="11"/>
      <c r="N519" s="11"/>
      <c r="O519" s="11"/>
      <c r="P519" s="11"/>
      <c r="Q519" s="11"/>
      <c r="R519" s="11">
        <v>85</v>
      </c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>
        <v>70</v>
      </c>
      <c r="AD519" s="11">
        <v>15</v>
      </c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>
        <v>85</v>
      </c>
      <c r="AQ519" s="11"/>
      <c r="AR519" s="11"/>
      <c r="AS519" s="11"/>
      <c r="AT519" s="11"/>
      <c r="AU519" s="20" t="str">
        <f>HYPERLINK("http://www.openstreetmap.org/?mlat=35.4552&amp;mlon=44.1738&amp;zoom=12#map=12/35.4552/44.1738","Maplink1")</f>
        <v>Maplink1</v>
      </c>
      <c r="AV519" s="20" t="str">
        <f>HYPERLINK("https://www.google.iq/maps/search/+35.4552,44.1738/@35.4552,44.1738,14z?hl=en","Maplink2")</f>
        <v>Maplink2</v>
      </c>
      <c r="AW519" s="20" t="str">
        <f>HYPERLINK("http://www.bing.com/maps/?lvl=14&amp;sty=h&amp;cp=35.4552~44.1738&amp;sp=point.35.4552_44.1738","Maplink3")</f>
        <v>Maplink3</v>
      </c>
    </row>
    <row r="520" spans="1:49" s="19" customFormat="1" x14ac:dyDescent="0.25">
      <c r="A520" s="9">
        <v>24359</v>
      </c>
      <c r="B520" s="10" t="s">
        <v>16</v>
      </c>
      <c r="C520" s="10" t="s">
        <v>16</v>
      </c>
      <c r="D520" s="10" t="s">
        <v>1888</v>
      </c>
      <c r="E520" s="10" t="s">
        <v>1889</v>
      </c>
      <c r="F520" s="10">
        <v>35.435245999999999</v>
      </c>
      <c r="G520" s="10">
        <v>44.412962</v>
      </c>
      <c r="H520" s="11">
        <v>500</v>
      </c>
      <c r="I520" s="11">
        <v>3000</v>
      </c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>
        <v>500</v>
      </c>
      <c r="Z520" s="11"/>
      <c r="AA520" s="11"/>
      <c r="AB520" s="11"/>
      <c r="AC520" s="11">
        <v>500</v>
      </c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>
        <v>500</v>
      </c>
      <c r="AU520" s="20" t="str">
        <f>HYPERLINK("http://www.openstreetmap.org/?mlat=35.4352&amp;mlon=44.413&amp;zoom=12#map=12/35.4352/44.413","Maplink1")</f>
        <v>Maplink1</v>
      </c>
      <c r="AV520" s="20" t="str">
        <f>HYPERLINK("https://www.google.iq/maps/search/+35.4352,44.413/@35.4352,44.413,14z?hl=en","Maplink2")</f>
        <v>Maplink2</v>
      </c>
      <c r="AW520" s="20" t="str">
        <f>HYPERLINK("http://www.bing.com/maps/?lvl=14&amp;sty=h&amp;cp=35.4352~44.413&amp;sp=point.35.4352_44.413","Maplink3")</f>
        <v>Maplink3</v>
      </c>
    </row>
    <row r="521" spans="1:49" s="19" customFormat="1" x14ac:dyDescent="0.25">
      <c r="A521" s="9">
        <v>24202</v>
      </c>
      <c r="B521" s="10" t="s">
        <v>16</v>
      </c>
      <c r="C521" s="10" t="s">
        <v>16</v>
      </c>
      <c r="D521" s="10" t="s">
        <v>1890</v>
      </c>
      <c r="E521" s="10" t="s">
        <v>1891</v>
      </c>
      <c r="F521" s="10">
        <v>35.383626</v>
      </c>
      <c r="G521" s="10">
        <v>44.074081999999997</v>
      </c>
      <c r="H521" s="11">
        <v>245</v>
      </c>
      <c r="I521" s="11">
        <v>1470</v>
      </c>
      <c r="J521" s="11"/>
      <c r="K521" s="11"/>
      <c r="L521" s="11"/>
      <c r="M521" s="11"/>
      <c r="N521" s="11"/>
      <c r="O521" s="11"/>
      <c r="P521" s="11"/>
      <c r="Q521" s="11"/>
      <c r="R521" s="11">
        <v>245</v>
      </c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>
        <v>245</v>
      </c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>
        <v>35</v>
      </c>
      <c r="AO521" s="11">
        <v>30</v>
      </c>
      <c r="AP521" s="11">
        <v>150</v>
      </c>
      <c r="AQ521" s="11">
        <v>30</v>
      </c>
      <c r="AR521" s="11"/>
      <c r="AS521" s="11"/>
      <c r="AT521" s="11"/>
      <c r="AU521" s="20" t="str">
        <f>HYPERLINK("http://www.openstreetmap.org/?mlat=35.3836&amp;mlon=44.0741&amp;zoom=12#map=12/35.3836/44.0741","Maplink1")</f>
        <v>Maplink1</v>
      </c>
      <c r="AV521" s="20" t="str">
        <f>HYPERLINK("https://www.google.iq/maps/search/+35.3836,44.0741/@35.3836,44.0741,14z?hl=en","Maplink2")</f>
        <v>Maplink2</v>
      </c>
      <c r="AW521" s="20" t="str">
        <f>HYPERLINK("http://www.bing.com/maps/?lvl=14&amp;sty=h&amp;cp=35.3836~44.0741&amp;sp=point.35.3836_44.0741","Maplink3")</f>
        <v>Maplink3</v>
      </c>
    </row>
    <row r="522" spans="1:49" s="19" customFormat="1" x14ac:dyDescent="0.25">
      <c r="A522" s="9">
        <v>15387</v>
      </c>
      <c r="B522" s="10" t="s">
        <v>16</v>
      </c>
      <c r="C522" s="10" t="s">
        <v>16</v>
      </c>
      <c r="D522" s="10" t="s">
        <v>1892</v>
      </c>
      <c r="E522" s="10" t="s">
        <v>1893</v>
      </c>
      <c r="F522" s="10">
        <v>35.429600000000001</v>
      </c>
      <c r="G522" s="10">
        <v>44.114400000000003</v>
      </c>
      <c r="H522" s="11">
        <v>15</v>
      </c>
      <c r="I522" s="11">
        <v>90</v>
      </c>
      <c r="J522" s="11"/>
      <c r="K522" s="11"/>
      <c r="L522" s="11"/>
      <c r="M522" s="11"/>
      <c r="N522" s="11"/>
      <c r="O522" s="11"/>
      <c r="P522" s="11"/>
      <c r="Q522" s="11"/>
      <c r="R522" s="11">
        <v>15</v>
      </c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>
        <v>15</v>
      </c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>
        <v>5</v>
      </c>
      <c r="AP522" s="11">
        <v>10</v>
      </c>
      <c r="AQ522" s="11"/>
      <c r="AR522" s="11"/>
      <c r="AS522" s="11"/>
      <c r="AT522" s="11"/>
      <c r="AU522" s="20" t="str">
        <f>HYPERLINK("http://www.openstreetmap.org/?mlat=35.4296&amp;mlon=44.1144&amp;zoom=12#map=12/35.4296/44.1144","Maplink1")</f>
        <v>Maplink1</v>
      </c>
      <c r="AV522" s="20" t="str">
        <f>HYPERLINK("https://www.google.iq/maps/search/+35.4296,44.1144/@35.4296,44.1144,14z?hl=en","Maplink2")</f>
        <v>Maplink2</v>
      </c>
      <c r="AW522" s="20" t="str">
        <f>HYPERLINK("http://www.bing.com/maps/?lvl=14&amp;sty=h&amp;cp=35.4296~44.1144&amp;sp=point.35.4296_44.1144","Maplink3")</f>
        <v>Maplink3</v>
      </c>
    </row>
    <row r="523" spans="1:49" s="19" customFormat="1" x14ac:dyDescent="0.25">
      <c r="A523" s="9">
        <v>14736</v>
      </c>
      <c r="B523" s="10" t="s">
        <v>16</v>
      </c>
      <c r="C523" s="10" t="s">
        <v>16</v>
      </c>
      <c r="D523" s="10" t="s">
        <v>1894</v>
      </c>
      <c r="E523" s="10" t="s">
        <v>1895</v>
      </c>
      <c r="F523" s="10">
        <v>35.429160000000003</v>
      </c>
      <c r="G523" s="10">
        <v>44.168199999999999</v>
      </c>
      <c r="H523" s="11">
        <v>24</v>
      </c>
      <c r="I523" s="11">
        <v>144</v>
      </c>
      <c r="J523" s="11"/>
      <c r="K523" s="11"/>
      <c r="L523" s="11"/>
      <c r="M523" s="11"/>
      <c r="N523" s="11"/>
      <c r="O523" s="11"/>
      <c r="P523" s="11"/>
      <c r="Q523" s="11"/>
      <c r="R523" s="11">
        <v>24</v>
      </c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>
        <v>24</v>
      </c>
      <c r="AG523" s="11"/>
      <c r="AH523" s="11"/>
      <c r="AI523" s="11"/>
      <c r="AJ523" s="11"/>
      <c r="AK523" s="11"/>
      <c r="AL523" s="11"/>
      <c r="AM523" s="11"/>
      <c r="AN523" s="11">
        <v>5</v>
      </c>
      <c r="AO523" s="11"/>
      <c r="AP523" s="11">
        <v>19</v>
      </c>
      <c r="AQ523" s="11"/>
      <c r="AR523" s="11"/>
      <c r="AS523" s="11"/>
      <c r="AT523" s="11"/>
      <c r="AU523" s="20" t="str">
        <f>HYPERLINK("http://www.openstreetmap.org/?mlat=35.4292&amp;mlon=44.1682&amp;zoom=12#map=12/35.4292/44.1682","Maplink1")</f>
        <v>Maplink1</v>
      </c>
      <c r="AV523" s="20" t="str">
        <f>HYPERLINK("https://www.google.iq/maps/search/+35.4292,44.1682/@35.4292,44.1682,14z?hl=en","Maplink2")</f>
        <v>Maplink2</v>
      </c>
      <c r="AW523" s="20" t="str">
        <f>HYPERLINK("http://www.bing.com/maps/?lvl=14&amp;sty=h&amp;cp=35.4292~44.1682&amp;sp=point.35.4292_44.1682","Maplink3")</f>
        <v>Maplink3</v>
      </c>
    </row>
    <row r="524" spans="1:49" s="19" customFormat="1" x14ac:dyDescent="0.25">
      <c r="A524" s="9">
        <v>14984</v>
      </c>
      <c r="B524" s="10" t="s">
        <v>16</v>
      </c>
      <c r="C524" s="10" t="s">
        <v>16</v>
      </c>
      <c r="D524" s="10" t="s">
        <v>1896</v>
      </c>
      <c r="E524" s="10" t="s">
        <v>1897</v>
      </c>
      <c r="F524" s="10">
        <v>35.422541178800003</v>
      </c>
      <c r="G524" s="10">
        <v>44.352601474300002</v>
      </c>
      <c r="H524" s="11">
        <v>150</v>
      </c>
      <c r="I524" s="11">
        <v>900</v>
      </c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>
        <v>150</v>
      </c>
      <c r="Z524" s="11"/>
      <c r="AA524" s="11"/>
      <c r="AB524" s="11"/>
      <c r="AC524" s="11">
        <v>150</v>
      </c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>
        <v>150</v>
      </c>
      <c r="AU524" s="20" t="str">
        <f>HYPERLINK("http://www.openstreetmap.org/?mlat=35.4225&amp;mlon=44.3526&amp;zoom=12#map=12/35.4225/44.3526","Maplink1")</f>
        <v>Maplink1</v>
      </c>
      <c r="AV524" s="20" t="str">
        <f>HYPERLINK("https://www.google.iq/maps/search/+35.4225,44.3526/@35.4225,44.3526,14z?hl=en","Maplink2")</f>
        <v>Maplink2</v>
      </c>
      <c r="AW524" s="20" t="str">
        <f>HYPERLINK("http://www.bing.com/maps/?lvl=14&amp;sty=h&amp;cp=35.4225~44.3526&amp;sp=point.35.4225_44.3526","Maplink3")</f>
        <v>Maplink3</v>
      </c>
    </row>
    <row r="525" spans="1:49" s="19" customFormat="1" x14ac:dyDescent="0.25">
      <c r="A525" s="9">
        <v>24084</v>
      </c>
      <c r="B525" s="10" t="s">
        <v>16</v>
      </c>
      <c r="C525" s="10" t="s">
        <v>16</v>
      </c>
      <c r="D525" s="10" t="s">
        <v>1898</v>
      </c>
      <c r="E525" s="10" t="s">
        <v>1899</v>
      </c>
      <c r="F525" s="10">
        <v>35.4084</v>
      </c>
      <c r="G525" s="10">
        <v>44.392774000000003</v>
      </c>
      <c r="H525" s="11">
        <v>250</v>
      </c>
      <c r="I525" s="11">
        <v>1500</v>
      </c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>
        <v>250</v>
      </c>
      <c r="Z525" s="11"/>
      <c r="AA525" s="11"/>
      <c r="AB525" s="11"/>
      <c r="AC525" s="11">
        <v>250</v>
      </c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>
        <v>250</v>
      </c>
      <c r="AU525" s="20" t="str">
        <f>HYPERLINK("http://www.openstreetmap.org/?mlat=35.4084&amp;mlon=44.3928&amp;zoom=12#map=12/35.4084/44.3928","Maplink1")</f>
        <v>Maplink1</v>
      </c>
      <c r="AV525" s="20" t="str">
        <f>HYPERLINK("https://www.google.iq/maps/search/+35.4084,44.3928/@35.4084,44.3928,14z?hl=en","Maplink2")</f>
        <v>Maplink2</v>
      </c>
      <c r="AW525" s="20" t="str">
        <f>HYPERLINK("http://www.bing.com/maps/?lvl=14&amp;sty=h&amp;cp=35.4084~44.3928&amp;sp=point.35.4084_44.3928","Maplink3")</f>
        <v>Maplink3</v>
      </c>
    </row>
    <row r="526" spans="1:49" s="19" customFormat="1" x14ac:dyDescent="0.25">
      <c r="A526" s="9">
        <v>14567</v>
      </c>
      <c r="B526" s="10" t="s">
        <v>16</v>
      </c>
      <c r="C526" s="10" t="s">
        <v>16</v>
      </c>
      <c r="D526" s="10" t="s">
        <v>2133</v>
      </c>
      <c r="E526" s="10" t="s">
        <v>2134</v>
      </c>
      <c r="F526" s="10">
        <v>3509175</v>
      </c>
      <c r="G526" s="10">
        <v>44.057000000000002</v>
      </c>
      <c r="H526" s="11">
        <v>50</v>
      </c>
      <c r="I526" s="11">
        <v>300</v>
      </c>
      <c r="J526" s="11"/>
      <c r="K526" s="11"/>
      <c r="L526" s="11"/>
      <c r="M526" s="11"/>
      <c r="N526" s="11"/>
      <c r="O526" s="11"/>
      <c r="P526" s="11"/>
      <c r="Q526" s="11"/>
      <c r="R526" s="11">
        <v>50</v>
      </c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>
        <v>50</v>
      </c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>
        <v>5</v>
      </c>
      <c r="AP526" s="11">
        <v>20</v>
      </c>
      <c r="AQ526" s="11">
        <v>20</v>
      </c>
      <c r="AR526" s="11">
        <v>5</v>
      </c>
      <c r="AS526" s="11"/>
      <c r="AT526" s="11"/>
      <c r="AU526" s="20" t="str">
        <f>HYPERLINK("http://www.openstreetmap.org/?mlat=3.50918e+006&amp;mlon=44.057&amp;zoom=12#map=12/3.50918e+006/44.057","Maplink1")</f>
        <v>Maplink1</v>
      </c>
      <c r="AV526" s="20" t="str">
        <f>HYPERLINK("https://www.google.iq/maps/search/+3.50918e+006,44.057/@3.50918e+006,44.057,14z?hl=en","Maplink2")</f>
        <v>Maplink2</v>
      </c>
      <c r="AW526" s="20" t="str">
        <f>HYPERLINK("http://www.bing.com/maps/?lvl=14&amp;sty=h&amp;cp=3.50918e+006~44.057&amp;sp=point.3.50918e+006_44.057","Maplink3")</f>
        <v>Maplink3</v>
      </c>
    </row>
    <row r="527" spans="1:49" s="19" customFormat="1" x14ac:dyDescent="0.25">
      <c r="A527" s="9">
        <v>31726</v>
      </c>
      <c r="B527" s="10" t="s">
        <v>16</v>
      </c>
      <c r="C527" s="10" t="s">
        <v>16</v>
      </c>
      <c r="D527" s="10" t="s">
        <v>1900</v>
      </c>
      <c r="E527" s="10" t="s">
        <v>1720</v>
      </c>
      <c r="F527" s="10">
        <v>35.432015</v>
      </c>
      <c r="G527" s="10">
        <v>44.425285000000002</v>
      </c>
      <c r="H527" s="11">
        <v>700</v>
      </c>
      <c r="I527" s="11">
        <v>4200</v>
      </c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>
        <v>700</v>
      </c>
      <c r="Z527" s="11"/>
      <c r="AA527" s="11"/>
      <c r="AB527" s="11"/>
      <c r="AC527" s="11">
        <v>700</v>
      </c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>
        <v>700</v>
      </c>
      <c r="AU527" s="20" t="str">
        <f>HYPERLINK("http://www.openstreetmap.org/?mlat=35.432&amp;mlon=44.4253&amp;zoom=12#map=12/35.432/44.4253","Maplink1")</f>
        <v>Maplink1</v>
      </c>
      <c r="AV527" s="20" t="str">
        <f>HYPERLINK("https://www.google.iq/maps/search/+35.432,44.4253/@35.432,44.4253,14z?hl=en","Maplink2")</f>
        <v>Maplink2</v>
      </c>
      <c r="AW527" s="20" t="str">
        <f>HYPERLINK("http://www.bing.com/maps/?lvl=14&amp;sty=h&amp;cp=35.432~44.4253&amp;sp=point.35.432_44.4253","Maplink3")</f>
        <v>Maplink3</v>
      </c>
    </row>
    <row r="528" spans="1:49" s="19" customFormat="1" x14ac:dyDescent="0.25">
      <c r="A528" s="9">
        <v>31727</v>
      </c>
      <c r="B528" s="10" t="s">
        <v>16</v>
      </c>
      <c r="C528" s="10" t="s">
        <v>16</v>
      </c>
      <c r="D528" s="10" t="s">
        <v>1901</v>
      </c>
      <c r="E528" s="10" t="s">
        <v>1902</v>
      </c>
      <c r="F528" s="10">
        <v>35.414712999999999</v>
      </c>
      <c r="G528" s="10">
        <v>44.412039999999998</v>
      </c>
      <c r="H528" s="11">
        <v>800</v>
      </c>
      <c r="I528" s="11">
        <v>4800</v>
      </c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>
        <v>800</v>
      </c>
      <c r="Z528" s="11"/>
      <c r="AA528" s="11"/>
      <c r="AB528" s="11"/>
      <c r="AC528" s="11">
        <v>800</v>
      </c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>
        <v>800</v>
      </c>
      <c r="AU528" s="20" t="str">
        <f>HYPERLINK("http://www.openstreetmap.org/?mlat=35.4147&amp;mlon=44.412&amp;zoom=12#map=12/35.4147/44.412","Maplink1")</f>
        <v>Maplink1</v>
      </c>
      <c r="AV528" s="20" t="str">
        <f>HYPERLINK("https://www.google.iq/maps/search/+35.4147,44.412/@35.4147,44.412,14z?hl=en","Maplink2")</f>
        <v>Maplink2</v>
      </c>
      <c r="AW528" s="20" t="str">
        <f>HYPERLINK("http://www.bing.com/maps/?lvl=14&amp;sty=h&amp;cp=35.4147~44.412&amp;sp=point.35.4147_44.412","Maplink3")</f>
        <v>Maplink3</v>
      </c>
    </row>
    <row r="529" spans="1:49" s="19" customFormat="1" x14ac:dyDescent="0.25">
      <c r="A529" s="9">
        <v>33112</v>
      </c>
      <c r="B529" s="10" t="s">
        <v>16</v>
      </c>
      <c r="C529" s="10" t="s">
        <v>16</v>
      </c>
      <c r="D529" s="10" t="s">
        <v>1605</v>
      </c>
      <c r="E529" s="10" t="s">
        <v>1606</v>
      </c>
      <c r="F529" s="10">
        <v>35.135210000000001</v>
      </c>
      <c r="G529" s="10">
        <v>44.087229999999998</v>
      </c>
      <c r="H529" s="11">
        <v>125</v>
      </c>
      <c r="I529" s="11">
        <v>750</v>
      </c>
      <c r="J529" s="11"/>
      <c r="K529" s="11"/>
      <c r="L529" s="11"/>
      <c r="M529" s="11"/>
      <c r="N529" s="11"/>
      <c r="O529" s="11"/>
      <c r="P529" s="11"/>
      <c r="Q529" s="11"/>
      <c r="R529" s="11">
        <v>125</v>
      </c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>
        <v>125</v>
      </c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>
        <v>30</v>
      </c>
      <c r="AR529" s="11">
        <v>85</v>
      </c>
      <c r="AS529" s="11">
        <v>10</v>
      </c>
      <c r="AT529" s="11"/>
      <c r="AU529" s="20" t="str">
        <f>HYPERLINK("http://www.openstreetmap.org/?mlat=35.1352&amp;mlon=44.0872&amp;zoom=12#map=12/35.1352/44.0872","Maplink1")</f>
        <v>Maplink1</v>
      </c>
      <c r="AV529" s="20" t="str">
        <f>HYPERLINK("https://www.google.iq/maps/search/+35.1352,44.0872/@35.1352,44.0872,14z?hl=en","Maplink2")</f>
        <v>Maplink2</v>
      </c>
      <c r="AW529" s="20" t="str">
        <f>HYPERLINK("http://www.bing.com/maps/?lvl=14&amp;sty=h&amp;cp=35.1352~44.0872&amp;sp=point.35.1352_44.0872","Maplink3")</f>
        <v>Maplink3</v>
      </c>
    </row>
    <row r="530" spans="1:49" s="19" customFormat="1" x14ac:dyDescent="0.25">
      <c r="A530" s="9">
        <v>15433</v>
      </c>
      <c r="B530" s="10" t="s">
        <v>16</v>
      </c>
      <c r="C530" s="10" t="s">
        <v>16</v>
      </c>
      <c r="D530" s="10" t="s">
        <v>1721</v>
      </c>
      <c r="E530" s="10" t="s">
        <v>1722</v>
      </c>
      <c r="F530" s="10">
        <v>35.503444000000002</v>
      </c>
      <c r="G530" s="10">
        <v>44.333193999999999</v>
      </c>
      <c r="H530" s="11">
        <v>100</v>
      </c>
      <c r="I530" s="11">
        <v>600</v>
      </c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>
        <v>100</v>
      </c>
      <c r="Z530" s="11"/>
      <c r="AA530" s="11"/>
      <c r="AB530" s="11"/>
      <c r="AC530" s="11">
        <v>100</v>
      </c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>
        <v>100</v>
      </c>
      <c r="AU530" s="20" t="str">
        <f>HYPERLINK("http://www.openstreetmap.org/?mlat=35.5034&amp;mlon=44.3332&amp;zoom=12#map=12/35.5034/44.3332","Maplink1")</f>
        <v>Maplink1</v>
      </c>
      <c r="AV530" s="20" t="str">
        <f>HYPERLINK("https://www.google.iq/maps/search/+35.5034,44.3332/@35.5034,44.3332,14z?hl=en","Maplink2")</f>
        <v>Maplink2</v>
      </c>
      <c r="AW530" s="20" t="str">
        <f>HYPERLINK("http://www.bing.com/maps/?lvl=14&amp;sty=h&amp;cp=35.5034~44.3332&amp;sp=point.35.5034_44.3332","Maplink3")</f>
        <v>Maplink3</v>
      </c>
    </row>
    <row r="531" spans="1:49" s="19" customFormat="1" x14ac:dyDescent="0.25">
      <c r="A531" s="9">
        <v>14572</v>
      </c>
      <c r="B531" s="10" t="s">
        <v>16</v>
      </c>
      <c r="C531" s="10" t="s">
        <v>16</v>
      </c>
      <c r="D531" s="10" t="s">
        <v>1903</v>
      </c>
      <c r="E531" s="10" t="s">
        <v>1904</v>
      </c>
      <c r="F531" s="10">
        <v>35.414700000000003</v>
      </c>
      <c r="G531" s="10">
        <v>44.0518</v>
      </c>
      <c r="H531" s="11">
        <v>25</v>
      </c>
      <c r="I531" s="11">
        <v>150</v>
      </c>
      <c r="J531" s="11"/>
      <c r="K531" s="11"/>
      <c r="L531" s="11"/>
      <c r="M531" s="11"/>
      <c r="N531" s="11"/>
      <c r="O531" s="11"/>
      <c r="P531" s="11"/>
      <c r="Q531" s="11"/>
      <c r="R531" s="11">
        <v>25</v>
      </c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>
        <v>25</v>
      </c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>
        <v>25</v>
      </c>
      <c r="AQ531" s="11"/>
      <c r="AR531" s="11"/>
      <c r="AS531" s="11"/>
      <c r="AT531" s="11"/>
      <c r="AU531" s="20" t="str">
        <f>HYPERLINK("http://www.openstreetmap.org/?mlat=35.4147&amp;mlon=44.0518&amp;zoom=12#map=12/35.4147/44.0518","Maplink1")</f>
        <v>Maplink1</v>
      </c>
      <c r="AV531" s="20" t="str">
        <f>HYPERLINK("https://www.google.iq/maps/search/+35.4147,44.0518/@35.4147,44.0518,14z?hl=en","Maplink2")</f>
        <v>Maplink2</v>
      </c>
      <c r="AW531" s="20" t="str">
        <f>HYPERLINK("http://www.bing.com/maps/?lvl=14&amp;sty=h&amp;cp=35.4147~44.0518&amp;sp=point.35.4147_44.0518","Maplink3")</f>
        <v>Maplink3</v>
      </c>
    </row>
    <row r="532" spans="1:49" s="19" customFormat="1" x14ac:dyDescent="0.25">
      <c r="A532" s="9">
        <v>25556</v>
      </c>
      <c r="B532" s="10" t="s">
        <v>16</v>
      </c>
      <c r="C532" s="10" t="s">
        <v>16</v>
      </c>
      <c r="D532" s="10" t="s">
        <v>1723</v>
      </c>
      <c r="E532" s="10" t="s">
        <v>1724</v>
      </c>
      <c r="F532" s="10">
        <v>35.481923999999999</v>
      </c>
      <c r="G532" s="10">
        <v>44.420259999999999</v>
      </c>
      <c r="H532" s="11">
        <v>3000</v>
      </c>
      <c r="I532" s="11">
        <v>18000</v>
      </c>
      <c r="J532" s="11"/>
      <c r="K532" s="11"/>
      <c r="L532" s="11"/>
      <c r="M532" s="11"/>
      <c r="N532" s="11"/>
      <c r="O532" s="11"/>
      <c r="P532" s="11">
        <v>200</v>
      </c>
      <c r="Q532" s="11"/>
      <c r="R532" s="11"/>
      <c r="S532" s="11"/>
      <c r="T532" s="11"/>
      <c r="U532" s="11"/>
      <c r="V532" s="11"/>
      <c r="W532" s="11"/>
      <c r="X532" s="11"/>
      <c r="Y532" s="11">
        <v>2800</v>
      </c>
      <c r="Z532" s="11"/>
      <c r="AA532" s="11"/>
      <c r="AB532" s="11"/>
      <c r="AC532" s="11">
        <v>3000</v>
      </c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>
        <v>3000</v>
      </c>
      <c r="AU532" s="20" t="str">
        <f>HYPERLINK("http://www.openstreetmap.org/?mlat=35.4819&amp;mlon=44.4203&amp;zoom=12#map=12/35.4819/44.4203","Maplink1")</f>
        <v>Maplink1</v>
      </c>
      <c r="AV532" s="20" t="str">
        <f>HYPERLINK("https://www.google.iq/maps/search/+35.4819,44.4203/@35.4819,44.4203,14z?hl=en","Maplink2")</f>
        <v>Maplink2</v>
      </c>
      <c r="AW532" s="20" t="str">
        <f>HYPERLINK("http://www.bing.com/maps/?lvl=14&amp;sty=h&amp;cp=35.4819~44.4203&amp;sp=point.35.4819_44.4203","Maplink3")</f>
        <v>Maplink3</v>
      </c>
    </row>
    <row r="533" spans="1:49" s="19" customFormat="1" x14ac:dyDescent="0.25">
      <c r="A533" s="9">
        <v>15603</v>
      </c>
      <c r="B533" s="10" t="s">
        <v>16</v>
      </c>
      <c r="C533" s="10" t="s">
        <v>16</v>
      </c>
      <c r="D533" s="10" t="s">
        <v>1725</v>
      </c>
      <c r="E533" s="10" t="s">
        <v>1726</v>
      </c>
      <c r="F533" s="10">
        <v>35.397255000000001</v>
      </c>
      <c r="G533" s="10">
        <v>44.363176000000003</v>
      </c>
      <c r="H533" s="11">
        <v>100</v>
      </c>
      <c r="I533" s="11">
        <v>600</v>
      </c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>
        <v>100</v>
      </c>
      <c r="Z533" s="11"/>
      <c r="AA533" s="11"/>
      <c r="AB533" s="11"/>
      <c r="AC533" s="11">
        <v>100</v>
      </c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>
        <v>100</v>
      </c>
      <c r="AU533" s="20" t="str">
        <f>HYPERLINK("http://www.openstreetmap.org/?mlat=35.3973&amp;mlon=44.3632&amp;zoom=12#map=12/35.3973/44.3632","Maplink1")</f>
        <v>Maplink1</v>
      </c>
      <c r="AV533" s="20" t="str">
        <f>HYPERLINK("https://www.google.iq/maps/search/+35.3973,44.3632/@35.3973,44.3632,14z?hl=en","Maplink2")</f>
        <v>Maplink2</v>
      </c>
      <c r="AW533" s="20" t="str">
        <f>HYPERLINK("http://www.bing.com/maps/?lvl=14&amp;sty=h&amp;cp=35.3973~44.3632&amp;sp=point.35.3973_44.3632","Maplink3")</f>
        <v>Maplink3</v>
      </c>
    </row>
    <row r="534" spans="1:49" s="19" customFormat="1" x14ac:dyDescent="0.25">
      <c r="A534" s="9">
        <v>15582</v>
      </c>
      <c r="B534" s="10" t="s">
        <v>16</v>
      </c>
      <c r="C534" s="10" t="s">
        <v>16</v>
      </c>
      <c r="D534" s="10" t="s">
        <v>1727</v>
      </c>
      <c r="E534" s="10" t="s">
        <v>1728</v>
      </c>
      <c r="F534" s="10">
        <v>35.480812342500002</v>
      </c>
      <c r="G534" s="10">
        <v>44.3900867909</v>
      </c>
      <c r="H534" s="11">
        <v>250</v>
      </c>
      <c r="I534" s="11">
        <v>1500</v>
      </c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>
        <v>250</v>
      </c>
      <c r="Z534" s="11"/>
      <c r="AA534" s="11"/>
      <c r="AB534" s="11"/>
      <c r="AC534" s="11">
        <v>250</v>
      </c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>
        <v>250</v>
      </c>
      <c r="AU534" s="20" t="str">
        <f>HYPERLINK("http://www.openstreetmap.org/?mlat=35.4808&amp;mlon=44.3901&amp;zoom=12#map=12/35.4808/44.3901","Maplink1")</f>
        <v>Maplink1</v>
      </c>
      <c r="AV534" s="20" t="str">
        <f>HYPERLINK("https://www.google.iq/maps/search/+35.4808,44.3901/@35.4808,44.3901,14z?hl=en","Maplink2")</f>
        <v>Maplink2</v>
      </c>
      <c r="AW534" s="20" t="str">
        <f>HYPERLINK("http://www.bing.com/maps/?lvl=14&amp;sty=h&amp;cp=35.4808~44.3901&amp;sp=point.35.4808_44.3901","Maplink3")</f>
        <v>Maplink3</v>
      </c>
    </row>
    <row r="535" spans="1:49" s="19" customFormat="1" x14ac:dyDescent="0.25">
      <c r="A535" s="9">
        <v>21016</v>
      </c>
      <c r="B535" s="10" t="s">
        <v>16</v>
      </c>
      <c r="C535" s="10" t="s">
        <v>16</v>
      </c>
      <c r="D535" s="10" t="s">
        <v>1905</v>
      </c>
      <c r="E535" s="10" t="s">
        <v>1198</v>
      </c>
      <c r="F535" s="10">
        <v>35.425849021499999</v>
      </c>
      <c r="G535" s="10">
        <v>44.404366879500003</v>
      </c>
      <c r="H535" s="11">
        <v>75</v>
      </c>
      <c r="I535" s="11">
        <v>450</v>
      </c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>
        <v>75</v>
      </c>
      <c r="Z535" s="11"/>
      <c r="AA535" s="11"/>
      <c r="AB535" s="11"/>
      <c r="AC535" s="11">
        <v>75</v>
      </c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>
        <v>75</v>
      </c>
      <c r="AU535" s="20" t="str">
        <f>HYPERLINK("http://www.openstreetmap.org/?mlat=35.4258&amp;mlon=44.4044&amp;zoom=12#map=12/35.4258/44.4044","Maplink1")</f>
        <v>Maplink1</v>
      </c>
      <c r="AV535" s="20" t="str">
        <f>HYPERLINK("https://www.google.iq/maps/search/+35.4258,44.4044/@35.4258,44.4044,14z?hl=en","Maplink2")</f>
        <v>Maplink2</v>
      </c>
      <c r="AW535" s="20" t="str">
        <f>HYPERLINK("http://www.bing.com/maps/?lvl=14&amp;sty=h&amp;cp=35.4258~44.4044&amp;sp=point.35.4258_44.4044","Maplink3")</f>
        <v>Maplink3</v>
      </c>
    </row>
    <row r="536" spans="1:49" s="19" customFormat="1" x14ac:dyDescent="0.25">
      <c r="A536" s="9">
        <v>31728</v>
      </c>
      <c r="B536" s="10" t="s">
        <v>16</v>
      </c>
      <c r="C536" s="10" t="s">
        <v>16</v>
      </c>
      <c r="D536" s="10" t="s">
        <v>1729</v>
      </c>
      <c r="E536" s="10" t="s">
        <v>1730</v>
      </c>
      <c r="F536" s="10">
        <v>35.408684999999998</v>
      </c>
      <c r="G536" s="10">
        <v>44.401969000000001</v>
      </c>
      <c r="H536" s="11">
        <v>700</v>
      </c>
      <c r="I536" s="11">
        <v>4200</v>
      </c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>
        <v>700</v>
      </c>
      <c r="Z536" s="11"/>
      <c r="AA536" s="11"/>
      <c r="AB536" s="11"/>
      <c r="AC536" s="11">
        <v>700</v>
      </c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>
        <v>700</v>
      </c>
      <c r="AU536" s="20" t="str">
        <f>HYPERLINK("http://www.openstreetmap.org/?mlat=35.4087&amp;mlon=44.402&amp;zoom=12#map=12/35.4087/44.402","Maplink1")</f>
        <v>Maplink1</v>
      </c>
      <c r="AV536" s="20" t="str">
        <f>HYPERLINK("https://www.google.iq/maps/search/+35.4087,44.402/@35.4087,44.402,14z?hl=en","Maplink2")</f>
        <v>Maplink2</v>
      </c>
      <c r="AW536" s="20" t="str">
        <f>HYPERLINK("http://www.bing.com/maps/?lvl=14&amp;sty=h&amp;cp=35.4087~44.402&amp;sp=point.35.4087_44.402","Maplink3")</f>
        <v>Maplink3</v>
      </c>
    </row>
    <row r="537" spans="1:49" s="19" customFormat="1" x14ac:dyDescent="0.25">
      <c r="A537" s="9">
        <v>31729</v>
      </c>
      <c r="B537" s="10" t="s">
        <v>16</v>
      </c>
      <c r="C537" s="10" t="s">
        <v>16</v>
      </c>
      <c r="D537" s="10" t="s">
        <v>1731</v>
      </c>
      <c r="E537" s="10" t="s">
        <v>1732</v>
      </c>
      <c r="F537" s="10">
        <v>35.403832999999999</v>
      </c>
      <c r="G537" s="10">
        <v>44.411043999999997</v>
      </c>
      <c r="H537" s="11">
        <v>500</v>
      </c>
      <c r="I537" s="11">
        <v>3000</v>
      </c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>
        <v>500</v>
      </c>
      <c r="Z537" s="11"/>
      <c r="AA537" s="11"/>
      <c r="AB537" s="11"/>
      <c r="AC537" s="11">
        <v>500</v>
      </c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>
        <v>500</v>
      </c>
      <c r="AU537" s="20" t="str">
        <f>HYPERLINK("http://www.openstreetmap.org/?mlat=35.4038&amp;mlon=44.411&amp;zoom=12#map=12/35.4038/44.411","Maplink1")</f>
        <v>Maplink1</v>
      </c>
      <c r="AV537" s="20" t="str">
        <f>HYPERLINK("https://www.google.iq/maps/search/+35.4038,44.411/@35.4038,44.411,14z?hl=en","Maplink2")</f>
        <v>Maplink2</v>
      </c>
      <c r="AW537" s="20" t="str">
        <f>HYPERLINK("http://www.bing.com/maps/?lvl=14&amp;sty=h&amp;cp=35.4038~44.411&amp;sp=point.35.4038_44.411","Maplink3")</f>
        <v>Maplink3</v>
      </c>
    </row>
    <row r="538" spans="1:49" s="19" customFormat="1" x14ac:dyDescent="0.25">
      <c r="A538" s="9">
        <v>15650</v>
      </c>
      <c r="B538" s="10" t="s">
        <v>16</v>
      </c>
      <c r="C538" s="10" t="s">
        <v>16</v>
      </c>
      <c r="D538" s="10" t="s">
        <v>1733</v>
      </c>
      <c r="E538" s="10" t="s">
        <v>1734</v>
      </c>
      <c r="F538" s="10">
        <v>35.419139999999999</v>
      </c>
      <c r="G538" s="10">
        <v>44.396810000000002</v>
      </c>
      <c r="H538" s="11">
        <v>75</v>
      </c>
      <c r="I538" s="11">
        <v>450</v>
      </c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>
        <v>75</v>
      </c>
      <c r="Z538" s="11"/>
      <c r="AA538" s="11"/>
      <c r="AB538" s="11"/>
      <c r="AC538" s="11">
        <v>75</v>
      </c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>
        <v>75</v>
      </c>
      <c r="AU538" s="20" t="str">
        <f>HYPERLINK("http://www.openstreetmap.org/?mlat=35.4191&amp;mlon=44.3968&amp;zoom=12#map=12/35.4191/44.3968","Maplink1")</f>
        <v>Maplink1</v>
      </c>
      <c r="AV538" s="20" t="str">
        <f>HYPERLINK("https://www.google.iq/maps/search/+35.4191,44.3968/@35.4191,44.3968,14z?hl=en","Maplink2")</f>
        <v>Maplink2</v>
      </c>
      <c r="AW538" s="20" t="str">
        <f>HYPERLINK("http://www.bing.com/maps/?lvl=14&amp;sty=h&amp;cp=35.4191~44.3968&amp;sp=point.35.4191_44.3968","Maplink3")</f>
        <v>Maplink3</v>
      </c>
    </row>
    <row r="539" spans="1:49" s="19" customFormat="1" x14ac:dyDescent="0.25">
      <c r="A539" s="9">
        <v>15550</v>
      </c>
      <c r="B539" s="10" t="s">
        <v>16</v>
      </c>
      <c r="C539" s="10" t="s">
        <v>16</v>
      </c>
      <c r="D539" s="10" t="s">
        <v>1735</v>
      </c>
      <c r="E539" s="10" t="s">
        <v>693</v>
      </c>
      <c r="F539" s="10">
        <v>35.436990000000002</v>
      </c>
      <c r="G539" s="10">
        <v>44.395237999999999</v>
      </c>
      <c r="H539" s="11">
        <v>75</v>
      </c>
      <c r="I539" s="11">
        <v>450</v>
      </c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>
        <v>75</v>
      </c>
      <c r="Z539" s="11"/>
      <c r="AA539" s="11"/>
      <c r="AB539" s="11"/>
      <c r="AC539" s="11">
        <v>75</v>
      </c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>
        <v>75</v>
      </c>
      <c r="AU539" s="20" t="str">
        <f>HYPERLINK("http://www.openstreetmap.org/?mlat=35.437&amp;mlon=44.3952&amp;zoom=12#map=12/35.437/44.3952","Maplink1")</f>
        <v>Maplink1</v>
      </c>
      <c r="AV539" s="20" t="str">
        <f>HYPERLINK("https://www.google.iq/maps/search/+35.437,44.3952/@35.437,44.3952,14z?hl=en","Maplink2")</f>
        <v>Maplink2</v>
      </c>
      <c r="AW539" s="20" t="str">
        <f>HYPERLINK("http://www.bing.com/maps/?lvl=14&amp;sty=h&amp;cp=35.437~44.3952&amp;sp=point.35.437_44.3952","Maplink3")</f>
        <v>Maplink3</v>
      </c>
    </row>
    <row r="540" spans="1:49" s="19" customFormat="1" x14ac:dyDescent="0.25">
      <c r="A540" s="9">
        <v>24142</v>
      </c>
      <c r="B540" s="10" t="s">
        <v>16</v>
      </c>
      <c r="C540" s="10" t="s">
        <v>16</v>
      </c>
      <c r="D540" s="10" t="s">
        <v>1736</v>
      </c>
      <c r="E540" s="10" t="s">
        <v>1906</v>
      </c>
      <c r="F540" s="10">
        <v>35.489187000000001</v>
      </c>
      <c r="G540" s="10">
        <v>44.383186000000002</v>
      </c>
      <c r="H540" s="11">
        <v>50</v>
      </c>
      <c r="I540" s="11">
        <v>300</v>
      </c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>
        <v>50</v>
      </c>
      <c r="Z540" s="11"/>
      <c r="AA540" s="11"/>
      <c r="AB540" s="11"/>
      <c r="AC540" s="11">
        <v>50</v>
      </c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>
        <v>50</v>
      </c>
      <c r="AU540" s="20" t="str">
        <f>HYPERLINK("http://www.openstreetmap.org/?mlat=35.4892&amp;mlon=44.3832&amp;zoom=12#map=12/35.4892/44.3832","Maplink1")</f>
        <v>Maplink1</v>
      </c>
      <c r="AV540" s="20" t="str">
        <f>HYPERLINK("https://www.google.iq/maps/search/+35.4892,44.3832/@35.4892,44.3832,14z?hl=en","Maplink2")</f>
        <v>Maplink2</v>
      </c>
      <c r="AW540" s="20" t="str">
        <f>HYPERLINK("http://www.bing.com/maps/?lvl=14&amp;sty=h&amp;cp=35.4892~44.3832&amp;sp=point.35.4892_44.3832","Maplink3")</f>
        <v>Maplink3</v>
      </c>
    </row>
    <row r="541" spans="1:49" s="19" customFormat="1" x14ac:dyDescent="0.25">
      <c r="A541" s="9">
        <v>21702</v>
      </c>
      <c r="B541" s="10" t="s">
        <v>16</v>
      </c>
      <c r="C541" s="10" t="s">
        <v>16</v>
      </c>
      <c r="D541" s="10" t="s">
        <v>1202</v>
      </c>
      <c r="E541" s="10" t="s">
        <v>1203</v>
      </c>
      <c r="F541" s="10">
        <v>35.481676855000003</v>
      </c>
      <c r="G541" s="10">
        <v>44.409738193599999</v>
      </c>
      <c r="H541" s="11">
        <v>4000</v>
      </c>
      <c r="I541" s="11">
        <v>24000</v>
      </c>
      <c r="J541" s="11"/>
      <c r="K541" s="11"/>
      <c r="L541" s="11"/>
      <c r="M541" s="11"/>
      <c r="N541" s="11"/>
      <c r="O541" s="11"/>
      <c r="P541" s="11">
        <v>300</v>
      </c>
      <c r="Q541" s="11"/>
      <c r="R541" s="11"/>
      <c r="S541" s="11"/>
      <c r="T541" s="11"/>
      <c r="U541" s="11"/>
      <c r="V541" s="11"/>
      <c r="W541" s="11"/>
      <c r="X541" s="11"/>
      <c r="Y541" s="11">
        <v>3700</v>
      </c>
      <c r="Z541" s="11"/>
      <c r="AA541" s="11"/>
      <c r="AB541" s="11"/>
      <c r="AC541" s="11">
        <v>4000</v>
      </c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>
        <v>4000</v>
      </c>
      <c r="AU541" s="20" t="str">
        <f>HYPERLINK("http://www.openstreetmap.org/?mlat=35.4817&amp;mlon=44.4097&amp;zoom=12#map=12/35.4817/44.4097","Maplink1")</f>
        <v>Maplink1</v>
      </c>
      <c r="AV541" s="20" t="str">
        <f>HYPERLINK("https://www.google.iq/maps/search/+35.4817,44.4097/@35.4817,44.4097,14z?hl=en","Maplink2")</f>
        <v>Maplink2</v>
      </c>
      <c r="AW541" s="20" t="str">
        <f>HYPERLINK("http://www.bing.com/maps/?lvl=14&amp;sty=h&amp;cp=35.4817~44.4097&amp;sp=point.35.4817_44.4097","Maplink3")</f>
        <v>Maplink3</v>
      </c>
    </row>
    <row r="542" spans="1:49" s="19" customFormat="1" x14ac:dyDescent="0.25">
      <c r="A542" s="9">
        <v>15584</v>
      </c>
      <c r="B542" s="10" t="s">
        <v>16</v>
      </c>
      <c r="C542" s="10" t="s">
        <v>16</v>
      </c>
      <c r="D542" s="10" t="s">
        <v>1737</v>
      </c>
      <c r="E542" s="10" t="s">
        <v>1738</v>
      </c>
      <c r="F542" s="10">
        <v>35.431980000000003</v>
      </c>
      <c r="G542" s="10">
        <v>44.380246</v>
      </c>
      <c r="H542" s="11">
        <v>100</v>
      </c>
      <c r="I542" s="11">
        <v>600</v>
      </c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>
        <v>100</v>
      </c>
      <c r="Z542" s="11"/>
      <c r="AA542" s="11"/>
      <c r="AB542" s="11"/>
      <c r="AC542" s="11">
        <v>100</v>
      </c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>
        <v>100</v>
      </c>
      <c r="AU542" s="20" t="str">
        <f>HYPERLINK("http://www.openstreetmap.org/?mlat=35.432&amp;mlon=44.3802&amp;zoom=12#map=12/35.432/44.3802","Maplink1")</f>
        <v>Maplink1</v>
      </c>
      <c r="AV542" s="20" t="str">
        <f>HYPERLINK("https://www.google.iq/maps/search/+35.432,44.3802/@35.432,44.3802,14z?hl=en","Maplink2")</f>
        <v>Maplink2</v>
      </c>
      <c r="AW542" s="20" t="str">
        <f>HYPERLINK("http://www.bing.com/maps/?lvl=14&amp;sty=h&amp;cp=35.432~44.3802&amp;sp=point.35.432_44.3802","Maplink3")</f>
        <v>Maplink3</v>
      </c>
    </row>
    <row r="543" spans="1:49" s="19" customFormat="1" x14ac:dyDescent="0.25">
      <c r="A543" s="9">
        <v>15694</v>
      </c>
      <c r="B543" s="10" t="s">
        <v>16</v>
      </c>
      <c r="C543" s="10" t="s">
        <v>16</v>
      </c>
      <c r="D543" s="10" t="s">
        <v>1739</v>
      </c>
      <c r="E543" s="10" t="s">
        <v>1740</v>
      </c>
      <c r="F543" s="10">
        <v>35.458438401199999</v>
      </c>
      <c r="G543" s="10">
        <v>44.395941493499997</v>
      </c>
      <c r="H543" s="11">
        <v>200</v>
      </c>
      <c r="I543" s="11">
        <v>1200</v>
      </c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>
        <v>200</v>
      </c>
      <c r="Z543" s="11"/>
      <c r="AA543" s="11"/>
      <c r="AB543" s="11"/>
      <c r="AC543" s="11">
        <v>200</v>
      </c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>
        <v>200</v>
      </c>
      <c r="AU543" s="20" t="str">
        <f>HYPERLINK("http://www.openstreetmap.org/?mlat=35.4584&amp;mlon=44.3959&amp;zoom=12#map=12/35.4584/44.3959","Maplink1")</f>
        <v>Maplink1</v>
      </c>
      <c r="AV543" s="20" t="str">
        <f>HYPERLINK("https://www.google.iq/maps/search/+35.4584,44.3959/@35.4584,44.3959,14z?hl=en","Maplink2")</f>
        <v>Maplink2</v>
      </c>
      <c r="AW543" s="20" t="str">
        <f>HYPERLINK("http://www.bing.com/maps/?lvl=14&amp;sty=h&amp;cp=35.4584~44.3959&amp;sp=point.35.4584_44.3959","Maplink3")</f>
        <v>Maplink3</v>
      </c>
    </row>
    <row r="544" spans="1:49" s="19" customFormat="1" x14ac:dyDescent="0.25">
      <c r="A544" s="9">
        <v>15679</v>
      </c>
      <c r="B544" s="10" t="s">
        <v>16</v>
      </c>
      <c r="C544" s="10" t="s">
        <v>16</v>
      </c>
      <c r="D544" s="10" t="s">
        <v>1907</v>
      </c>
      <c r="E544" s="10" t="s">
        <v>1908</v>
      </c>
      <c r="F544" s="10">
        <v>35.391931</v>
      </c>
      <c r="G544" s="10">
        <v>44.380969</v>
      </c>
      <c r="H544" s="11">
        <v>75</v>
      </c>
      <c r="I544" s="11">
        <v>450</v>
      </c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>
        <v>75</v>
      </c>
      <c r="Z544" s="11"/>
      <c r="AA544" s="11"/>
      <c r="AB544" s="11"/>
      <c r="AC544" s="11">
        <v>75</v>
      </c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>
        <v>75</v>
      </c>
      <c r="AU544" s="20" t="str">
        <f>HYPERLINK("http://www.openstreetmap.org/?mlat=35.3919&amp;mlon=44.381&amp;zoom=12#map=12/35.3919/44.381","Maplink1")</f>
        <v>Maplink1</v>
      </c>
      <c r="AV544" s="20" t="str">
        <f>HYPERLINK("https://www.google.iq/maps/search/+35.3919,44.381/@35.3919,44.381,14z?hl=en","Maplink2")</f>
        <v>Maplink2</v>
      </c>
      <c r="AW544" s="20" t="str">
        <f>HYPERLINK("http://www.bing.com/maps/?lvl=14&amp;sty=h&amp;cp=35.3919~44.381&amp;sp=point.35.3919_44.381","Maplink3")</f>
        <v>Maplink3</v>
      </c>
    </row>
    <row r="545" spans="1:49" s="19" customFormat="1" x14ac:dyDescent="0.25">
      <c r="A545" s="9">
        <v>14520</v>
      </c>
      <c r="B545" s="10" t="s">
        <v>16</v>
      </c>
      <c r="C545" s="10" t="s">
        <v>16</v>
      </c>
      <c r="D545" s="10" t="s">
        <v>894</v>
      </c>
      <c r="E545" s="10" t="s">
        <v>895</v>
      </c>
      <c r="F545" s="10">
        <v>35.489559999999997</v>
      </c>
      <c r="G545" s="10">
        <v>44.161169999999998</v>
      </c>
      <c r="H545" s="11">
        <v>120</v>
      </c>
      <c r="I545" s="11">
        <v>720</v>
      </c>
      <c r="J545" s="11"/>
      <c r="K545" s="11"/>
      <c r="L545" s="11"/>
      <c r="M545" s="11"/>
      <c r="N545" s="11"/>
      <c r="O545" s="11"/>
      <c r="P545" s="11"/>
      <c r="Q545" s="11"/>
      <c r="R545" s="11">
        <v>120</v>
      </c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>
        <v>100</v>
      </c>
      <c r="AD545" s="11">
        <v>20</v>
      </c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>
        <v>120</v>
      </c>
      <c r="AQ545" s="11"/>
      <c r="AR545" s="11"/>
      <c r="AS545" s="11"/>
      <c r="AT545" s="11"/>
      <c r="AU545" s="20" t="str">
        <f>HYPERLINK("http://www.openstreetmap.org/?mlat=35.4896&amp;mlon=44.1612&amp;zoom=12#map=12/35.4896/44.1612","Maplink1")</f>
        <v>Maplink1</v>
      </c>
      <c r="AV545" s="20" t="str">
        <f>HYPERLINK("https://www.google.iq/maps/search/+35.4896,44.1612/@35.4896,44.1612,14z?hl=en","Maplink2")</f>
        <v>Maplink2</v>
      </c>
      <c r="AW545" s="20" t="str">
        <f>HYPERLINK("http://www.bing.com/maps/?lvl=14&amp;sty=h&amp;cp=35.4896~44.1612&amp;sp=point.35.4896_44.1612","Maplink3")</f>
        <v>Maplink3</v>
      </c>
    </row>
    <row r="546" spans="1:49" s="19" customFormat="1" x14ac:dyDescent="0.25">
      <c r="A546" s="9">
        <v>14930</v>
      </c>
      <c r="B546" s="10" t="s">
        <v>16</v>
      </c>
      <c r="C546" s="10" t="s">
        <v>16</v>
      </c>
      <c r="D546" s="10" t="s">
        <v>2135</v>
      </c>
      <c r="E546" s="10" t="s">
        <v>2136</v>
      </c>
      <c r="F546" s="10">
        <v>35.126800000000003</v>
      </c>
      <c r="G546" s="10">
        <v>44.015779999999999</v>
      </c>
      <c r="H546" s="11">
        <v>25</v>
      </c>
      <c r="I546" s="11">
        <v>150</v>
      </c>
      <c r="J546" s="11"/>
      <c r="K546" s="11"/>
      <c r="L546" s="11"/>
      <c r="M546" s="11"/>
      <c r="N546" s="11"/>
      <c r="O546" s="11"/>
      <c r="P546" s="11"/>
      <c r="Q546" s="11"/>
      <c r="R546" s="11">
        <v>25</v>
      </c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>
        <v>25</v>
      </c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>
        <v>5</v>
      </c>
      <c r="AQ546" s="11">
        <v>10</v>
      </c>
      <c r="AR546" s="11">
        <v>10</v>
      </c>
      <c r="AS546" s="11"/>
      <c r="AT546" s="11"/>
      <c r="AU546" s="20" t="str">
        <f>HYPERLINK("http://www.openstreetmap.org/?mlat=35.1268&amp;mlon=44.0158&amp;zoom=12#map=12/35.1268/44.0158","Maplink1")</f>
        <v>Maplink1</v>
      </c>
      <c r="AV546" s="20" t="str">
        <f>HYPERLINK("https://www.google.iq/maps/search/+35.1268,44.0158/@35.1268,44.0158,14z?hl=en","Maplink2")</f>
        <v>Maplink2</v>
      </c>
      <c r="AW546" s="20" t="str">
        <f>HYPERLINK("http://www.bing.com/maps/?lvl=14&amp;sty=h&amp;cp=35.1268~44.0158&amp;sp=point.35.1268_44.0158","Maplink3")</f>
        <v>Maplink3</v>
      </c>
    </row>
    <row r="547" spans="1:49" s="19" customFormat="1" x14ac:dyDescent="0.25">
      <c r="A547" s="9">
        <v>29483</v>
      </c>
      <c r="B547" s="10" t="s">
        <v>16</v>
      </c>
      <c r="C547" s="10" t="s">
        <v>16</v>
      </c>
      <c r="D547" s="10" t="s">
        <v>896</v>
      </c>
      <c r="E547" s="10" t="s">
        <v>897</v>
      </c>
      <c r="F547" s="10">
        <v>35.464869999999998</v>
      </c>
      <c r="G547" s="10">
        <v>44.130189999999999</v>
      </c>
      <c r="H547" s="11">
        <v>130</v>
      </c>
      <c r="I547" s="11">
        <v>780</v>
      </c>
      <c r="J547" s="11"/>
      <c r="K547" s="11"/>
      <c r="L547" s="11"/>
      <c r="M547" s="11"/>
      <c r="N547" s="11"/>
      <c r="O547" s="11"/>
      <c r="P547" s="11"/>
      <c r="Q547" s="11"/>
      <c r="R547" s="11">
        <v>130</v>
      </c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>
        <v>105</v>
      </c>
      <c r="AD547" s="11">
        <v>25</v>
      </c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>
        <v>130</v>
      </c>
      <c r="AQ547" s="11"/>
      <c r="AR547" s="11"/>
      <c r="AS547" s="11"/>
      <c r="AT547" s="11"/>
      <c r="AU547" s="20" t="str">
        <f>HYPERLINK("http://www.openstreetmap.org/?mlat=35.4649&amp;mlon=44.1302&amp;zoom=12#map=12/35.4649/44.1302","Maplink1")</f>
        <v>Maplink1</v>
      </c>
      <c r="AV547" s="20" t="str">
        <f>HYPERLINK("https://www.google.iq/maps/search/+35.4649,44.1302/@35.4649,44.1302,14z?hl=en","Maplink2")</f>
        <v>Maplink2</v>
      </c>
      <c r="AW547" s="20" t="str">
        <f>HYPERLINK("http://www.bing.com/maps/?lvl=14&amp;sty=h&amp;cp=35.4649~44.1302&amp;sp=point.35.4649_44.1302","Maplink3")</f>
        <v>Maplink3</v>
      </c>
    </row>
    <row r="548" spans="1:49" s="19" customFormat="1" x14ac:dyDescent="0.25">
      <c r="A548" s="9">
        <v>14530</v>
      </c>
      <c r="B548" s="10" t="s">
        <v>16</v>
      </c>
      <c r="C548" s="10" t="s">
        <v>16</v>
      </c>
      <c r="D548" s="10" t="s">
        <v>1741</v>
      </c>
      <c r="E548" s="10" t="s">
        <v>1909</v>
      </c>
      <c r="F548" s="10">
        <v>35.423660021300002</v>
      </c>
      <c r="G548" s="10">
        <v>44.4304003974</v>
      </c>
      <c r="H548" s="11">
        <v>4450</v>
      </c>
      <c r="I548" s="11">
        <v>26700</v>
      </c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>
        <v>4450</v>
      </c>
      <c r="Z548" s="11"/>
      <c r="AA548" s="11"/>
      <c r="AB548" s="11"/>
      <c r="AC548" s="11">
        <v>4450</v>
      </c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>
        <v>4450</v>
      </c>
      <c r="AU548" s="20" t="str">
        <f>HYPERLINK("http://www.openstreetmap.org/?mlat=35.4237&amp;mlon=44.4304&amp;zoom=12#map=12/35.4237/44.4304","Maplink1")</f>
        <v>Maplink1</v>
      </c>
      <c r="AV548" s="20" t="str">
        <f>HYPERLINK("https://www.google.iq/maps/search/+35.4237,44.4304/@35.4237,44.4304,14z?hl=en","Maplink2")</f>
        <v>Maplink2</v>
      </c>
      <c r="AW548" s="20" t="str">
        <f>HYPERLINK("http://www.bing.com/maps/?lvl=14&amp;sty=h&amp;cp=35.4237~44.4304&amp;sp=point.35.4237_44.4304","Maplink3")</f>
        <v>Maplink3</v>
      </c>
    </row>
    <row r="549" spans="1:49" s="19" customFormat="1" x14ac:dyDescent="0.25">
      <c r="A549" s="9">
        <v>23632</v>
      </c>
      <c r="B549" s="10" t="s">
        <v>16</v>
      </c>
      <c r="C549" s="10" t="s">
        <v>16</v>
      </c>
      <c r="D549" s="10" t="s">
        <v>1742</v>
      </c>
      <c r="E549" s="10" t="s">
        <v>1743</v>
      </c>
      <c r="F549" s="10">
        <v>35.471389000000002</v>
      </c>
      <c r="G549" s="10">
        <v>44.384444000000002</v>
      </c>
      <c r="H549" s="11">
        <v>50</v>
      </c>
      <c r="I549" s="11">
        <v>300</v>
      </c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>
        <v>50</v>
      </c>
      <c r="Z549" s="11"/>
      <c r="AA549" s="11"/>
      <c r="AB549" s="11"/>
      <c r="AC549" s="11">
        <v>50</v>
      </c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>
        <v>50</v>
      </c>
      <c r="AU549" s="20" t="str">
        <f>HYPERLINK("http://www.openstreetmap.org/?mlat=35.4714&amp;mlon=44.3844&amp;zoom=12#map=12/35.4714/44.3844","Maplink1")</f>
        <v>Maplink1</v>
      </c>
      <c r="AV549" s="20" t="str">
        <f>HYPERLINK("https://www.google.iq/maps/search/+35.4714,44.3844/@35.4714,44.3844,14z?hl=en","Maplink2")</f>
        <v>Maplink2</v>
      </c>
      <c r="AW549" s="20" t="str">
        <f>HYPERLINK("http://www.bing.com/maps/?lvl=14&amp;sty=h&amp;cp=35.4714~44.3844&amp;sp=point.35.4714_44.3844","Maplink3")</f>
        <v>Maplink3</v>
      </c>
    </row>
    <row r="550" spans="1:49" s="19" customFormat="1" x14ac:dyDescent="0.25">
      <c r="A550" s="9">
        <v>14618</v>
      </c>
      <c r="B550" s="10" t="s">
        <v>16</v>
      </c>
      <c r="C550" s="10" t="s">
        <v>16</v>
      </c>
      <c r="D550" s="10" t="s">
        <v>1910</v>
      </c>
      <c r="E550" s="10" t="s">
        <v>1911</v>
      </c>
      <c r="F550" s="10">
        <v>35.408000000000001</v>
      </c>
      <c r="G550" s="10">
        <v>44.112699999999997</v>
      </c>
      <c r="H550" s="11">
        <v>3</v>
      </c>
      <c r="I550" s="11">
        <v>18</v>
      </c>
      <c r="J550" s="11"/>
      <c r="K550" s="11"/>
      <c r="L550" s="11"/>
      <c r="M550" s="11"/>
      <c r="N550" s="11"/>
      <c r="O550" s="11"/>
      <c r="P550" s="11"/>
      <c r="Q550" s="11"/>
      <c r="R550" s="11">
        <v>3</v>
      </c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>
        <v>3</v>
      </c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>
        <v>3</v>
      </c>
      <c r="AQ550" s="11"/>
      <c r="AR550" s="11"/>
      <c r="AS550" s="11"/>
      <c r="AT550" s="11"/>
      <c r="AU550" s="20" t="str">
        <f>HYPERLINK("http://www.openstreetmap.org/?mlat=35.408&amp;mlon=44.1127&amp;zoom=12#map=12/35.408/44.1127","Maplink1")</f>
        <v>Maplink1</v>
      </c>
      <c r="AV550" s="20" t="str">
        <f>HYPERLINK("https://www.google.iq/maps/search/+35.408,44.1127/@35.408,44.1127,14z?hl=en","Maplink2")</f>
        <v>Maplink2</v>
      </c>
      <c r="AW550" s="20" t="str">
        <f>HYPERLINK("http://www.bing.com/maps/?lvl=14&amp;sty=h&amp;cp=35.408~44.1127&amp;sp=point.35.408_44.1127","Maplink3")</f>
        <v>Maplink3</v>
      </c>
    </row>
    <row r="551" spans="1:49" s="19" customFormat="1" x14ac:dyDescent="0.25">
      <c r="A551" s="9">
        <v>14619</v>
      </c>
      <c r="B551" s="10" t="s">
        <v>16</v>
      </c>
      <c r="C551" s="10" t="s">
        <v>16</v>
      </c>
      <c r="D551" s="10" t="s">
        <v>1912</v>
      </c>
      <c r="E551" s="10" t="s">
        <v>1913</v>
      </c>
      <c r="F551" s="10">
        <v>35.400199999999998</v>
      </c>
      <c r="G551" s="10">
        <v>44.098300000000002</v>
      </c>
      <c r="H551" s="11">
        <v>3</v>
      </c>
      <c r="I551" s="11">
        <v>18</v>
      </c>
      <c r="J551" s="11"/>
      <c r="K551" s="11"/>
      <c r="L551" s="11"/>
      <c r="M551" s="11"/>
      <c r="N551" s="11"/>
      <c r="O551" s="11"/>
      <c r="P551" s="11"/>
      <c r="Q551" s="11"/>
      <c r="R551" s="11">
        <v>3</v>
      </c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>
        <v>3</v>
      </c>
      <c r="AG551" s="11"/>
      <c r="AH551" s="11"/>
      <c r="AI551" s="11"/>
      <c r="AJ551" s="11"/>
      <c r="AK551" s="11"/>
      <c r="AL551" s="11"/>
      <c r="AM551" s="11"/>
      <c r="AN551" s="11"/>
      <c r="AO551" s="11"/>
      <c r="AP551" s="11">
        <v>3</v>
      </c>
      <c r="AQ551" s="11"/>
      <c r="AR551" s="11"/>
      <c r="AS551" s="11"/>
      <c r="AT551" s="11"/>
      <c r="AU551" s="20" t="str">
        <f>HYPERLINK("http://www.openstreetmap.org/?mlat=35.4002&amp;mlon=44.0983&amp;zoom=12#map=12/35.4002/44.0983","Maplink1")</f>
        <v>Maplink1</v>
      </c>
      <c r="AV551" s="20" t="str">
        <f>HYPERLINK("https://www.google.iq/maps/search/+35.4002,44.0983/@35.4002,44.0983,14z?hl=en","Maplink2")</f>
        <v>Maplink2</v>
      </c>
      <c r="AW551" s="20" t="str">
        <f>HYPERLINK("http://www.bing.com/maps/?lvl=14&amp;sty=h&amp;cp=35.4002~44.0983&amp;sp=point.35.4002_44.0983","Maplink3")</f>
        <v>Maplink3</v>
      </c>
    </row>
    <row r="552" spans="1:49" s="19" customFormat="1" x14ac:dyDescent="0.25">
      <c r="A552" s="9">
        <v>14763</v>
      </c>
      <c r="B552" s="10" t="s">
        <v>16</v>
      </c>
      <c r="C552" s="10" t="s">
        <v>16</v>
      </c>
      <c r="D552" s="10" t="s">
        <v>1744</v>
      </c>
      <c r="E552" s="10" t="s">
        <v>1914</v>
      </c>
      <c r="F552" s="10">
        <v>35.488765014899997</v>
      </c>
      <c r="G552" s="10">
        <v>44.396685663600003</v>
      </c>
      <c r="H552" s="11">
        <v>5500</v>
      </c>
      <c r="I552" s="11">
        <v>33000</v>
      </c>
      <c r="J552" s="11"/>
      <c r="K552" s="11"/>
      <c r="L552" s="11"/>
      <c r="M552" s="11"/>
      <c r="N552" s="11"/>
      <c r="O552" s="11"/>
      <c r="P552" s="11">
        <v>2000</v>
      </c>
      <c r="Q552" s="11"/>
      <c r="R552" s="11"/>
      <c r="S552" s="11"/>
      <c r="T552" s="11"/>
      <c r="U552" s="11"/>
      <c r="V552" s="11"/>
      <c r="W552" s="11"/>
      <c r="X552" s="11"/>
      <c r="Y552" s="11">
        <v>3500</v>
      </c>
      <c r="Z552" s="11"/>
      <c r="AA552" s="11"/>
      <c r="AB552" s="11"/>
      <c r="AC552" s="11">
        <v>5500</v>
      </c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>
        <v>5500</v>
      </c>
      <c r="AU552" s="20" t="str">
        <f>HYPERLINK("http://www.openstreetmap.org/?mlat=35.4888&amp;mlon=44.3967&amp;zoom=12#map=12/35.4888/44.3967","Maplink1")</f>
        <v>Maplink1</v>
      </c>
      <c r="AV552" s="20" t="str">
        <f>HYPERLINK("https://www.google.iq/maps/search/+35.4888,44.3967/@35.4888,44.3967,14z?hl=en","Maplink2")</f>
        <v>Maplink2</v>
      </c>
      <c r="AW552" s="20" t="str">
        <f>HYPERLINK("http://www.bing.com/maps/?lvl=14&amp;sty=h&amp;cp=35.4888~44.3967&amp;sp=point.35.4888_44.3967","Maplink3")</f>
        <v>Maplink3</v>
      </c>
    </row>
    <row r="553" spans="1:49" s="19" customFormat="1" x14ac:dyDescent="0.25">
      <c r="A553" s="9">
        <v>23634</v>
      </c>
      <c r="B553" s="10" t="s">
        <v>16</v>
      </c>
      <c r="C553" s="10" t="s">
        <v>16</v>
      </c>
      <c r="D553" s="10" t="s">
        <v>1745</v>
      </c>
      <c r="E553" s="10" t="s">
        <v>1915</v>
      </c>
      <c r="F553" s="10">
        <v>35.445537888799997</v>
      </c>
      <c r="G553" s="10">
        <v>44.398288001700003</v>
      </c>
      <c r="H553" s="11">
        <v>250</v>
      </c>
      <c r="I553" s="11">
        <v>1500</v>
      </c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>
        <v>250</v>
      </c>
      <c r="Z553" s="11"/>
      <c r="AA553" s="11"/>
      <c r="AB553" s="11"/>
      <c r="AC553" s="11">
        <v>250</v>
      </c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>
        <v>250</v>
      </c>
      <c r="AU553" s="20" t="str">
        <f>HYPERLINK("http://www.openstreetmap.org/?mlat=35.4455&amp;mlon=44.3983&amp;zoom=12#map=12/35.4455/44.3983","Maplink1")</f>
        <v>Maplink1</v>
      </c>
      <c r="AV553" s="20" t="str">
        <f>HYPERLINK("https://www.google.iq/maps/search/+35.4455,44.3983/@35.4455,44.3983,14z?hl=en","Maplink2")</f>
        <v>Maplink2</v>
      </c>
      <c r="AW553" s="20" t="str">
        <f>HYPERLINK("http://www.bing.com/maps/?lvl=14&amp;sty=h&amp;cp=35.4455~44.3983&amp;sp=point.35.4455_44.3983","Maplink3")</f>
        <v>Maplink3</v>
      </c>
    </row>
    <row r="554" spans="1:49" s="19" customFormat="1" x14ac:dyDescent="0.25">
      <c r="A554" s="9">
        <v>24806</v>
      </c>
      <c r="B554" s="10" t="s">
        <v>16</v>
      </c>
      <c r="C554" s="10" t="s">
        <v>16</v>
      </c>
      <c r="D554" s="10" t="s">
        <v>1746</v>
      </c>
      <c r="E554" s="10" t="s">
        <v>1916</v>
      </c>
      <c r="F554" s="10">
        <v>35.460493999999997</v>
      </c>
      <c r="G554" s="10">
        <v>44.377719999999997</v>
      </c>
      <c r="H554" s="11">
        <v>50</v>
      </c>
      <c r="I554" s="11">
        <v>300</v>
      </c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>
        <v>50</v>
      </c>
      <c r="Z554" s="11"/>
      <c r="AA554" s="11"/>
      <c r="AB554" s="11"/>
      <c r="AC554" s="11">
        <v>50</v>
      </c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>
        <v>50</v>
      </c>
      <c r="AU554" s="20" t="str">
        <f>HYPERLINK("http://www.openstreetmap.org/?mlat=35.4605&amp;mlon=44.3777&amp;zoom=12#map=12/35.4605/44.3777","Maplink1")</f>
        <v>Maplink1</v>
      </c>
      <c r="AV554" s="20" t="str">
        <f>HYPERLINK("https://www.google.iq/maps/search/+35.4605,44.3777/@35.4605,44.3777,14z?hl=en","Maplink2")</f>
        <v>Maplink2</v>
      </c>
      <c r="AW554" s="20" t="str">
        <f>HYPERLINK("http://www.bing.com/maps/?lvl=14&amp;sty=h&amp;cp=35.4605~44.3777&amp;sp=point.35.4605_44.3777","Maplink3")</f>
        <v>Maplink3</v>
      </c>
    </row>
    <row r="555" spans="1:49" s="19" customFormat="1" x14ac:dyDescent="0.25">
      <c r="A555" s="9">
        <v>28410</v>
      </c>
      <c r="B555" s="10" t="s">
        <v>16</v>
      </c>
      <c r="C555" s="10" t="s">
        <v>16</v>
      </c>
      <c r="D555" s="10" t="s">
        <v>1747</v>
      </c>
      <c r="E555" s="10" t="s">
        <v>1748</v>
      </c>
      <c r="F555" s="10">
        <v>35.554110242999997</v>
      </c>
      <c r="G555" s="10">
        <v>44.358290618300003</v>
      </c>
      <c r="H555" s="11">
        <v>50</v>
      </c>
      <c r="I555" s="11">
        <v>300</v>
      </c>
      <c r="J555" s="11"/>
      <c r="K555" s="11"/>
      <c r="L555" s="11"/>
      <c r="M555" s="11"/>
      <c r="N555" s="11"/>
      <c r="O555" s="11"/>
      <c r="P555" s="11">
        <v>50</v>
      </c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>
        <v>50</v>
      </c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>
        <v>50</v>
      </c>
      <c r="AU555" s="20" t="str">
        <f>HYPERLINK("http://www.openstreetmap.org/?mlat=35.5541&amp;mlon=44.3583&amp;zoom=12#map=12/35.5541/44.3583","Maplink1")</f>
        <v>Maplink1</v>
      </c>
      <c r="AV555" s="20" t="str">
        <f>HYPERLINK("https://www.google.iq/maps/search/+35.5541,44.3583/@35.5541,44.3583,14z?hl=en","Maplink2")</f>
        <v>Maplink2</v>
      </c>
      <c r="AW555" s="20" t="str">
        <f>HYPERLINK("http://www.bing.com/maps/?lvl=14&amp;sty=h&amp;cp=35.5541~44.3583&amp;sp=point.35.5541_44.3583","Maplink3")</f>
        <v>Maplink3</v>
      </c>
    </row>
    <row r="556" spans="1:49" s="19" customFormat="1" x14ac:dyDescent="0.25">
      <c r="A556" s="9">
        <v>15330</v>
      </c>
      <c r="B556" s="10" t="s">
        <v>16</v>
      </c>
      <c r="C556" s="10" t="s">
        <v>16</v>
      </c>
      <c r="D556" s="10" t="s">
        <v>1917</v>
      </c>
      <c r="E556" s="10" t="s">
        <v>1918</v>
      </c>
      <c r="F556" s="10">
        <v>35.367699999999999</v>
      </c>
      <c r="G556" s="10">
        <v>44.079300000000003</v>
      </c>
      <c r="H556" s="11">
        <v>1</v>
      </c>
      <c r="I556" s="11">
        <v>6</v>
      </c>
      <c r="J556" s="11"/>
      <c r="K556" s="11"/>
      <c r="L556" s="11"/>
      <c r="M556" s="11"/>
      <c r="N556" s="11"/>
      <c r="O556" s="11"/>
      <c r="P556" s="11"/>
      <c r="Q556" s="11"/>
      <c r="R556" s="11">
        <v>1</v>
      </c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>
        <v>1</v>
      </c>
      <c r="AG556" s="11"/>
      <c r="AH556" s="11"/>
      <c r="AI556" s="11"/>
      <c r="AJ556" s="11"/>
      <c r="AK556" s="11"/>
      <c r="AL556" s="11"/>
      <c r="AM556" s="11"/>
      <c r="AN556" s="11"/>
      <c r="AO556" s="11"/>
      <c r="AP556" s="11">
        <v>1</v>
      </c>
      <c r="AQ556" s="11"/>
      <c r="AR556" s="11"/>
      <c r="AS556" s="11"/>
      <c r="AT556" s="11"/>
      <c r="AU556" s="20" t="str">
        <f>HYPERLINK("http://www.openstreetmap.org/?mlat=35.3677&amp;mlon=44.0793&amp;zoom=12#map=12/35.3677/44.0793","Maplink1")</f>
        <v>Maplink1</v>
      </c>
      <c r="AV556" s="20" t="str">
        <f>HYPERLINK("https://www.google.iq/maps/search/+35.3677,44.0793/@35.3677,44.0793,14z?hl=en","Maplink2")</f>
        <v>Maplink2</v>
      </c>
      <c r="AW556" s="20" t="str">
        <f>HYPERLINK("http://www.bing.com/maps/?lvl=14&amp;sty=h&amp;cp=35.3677~44.0793&amp;sp=point.35.3677_44.0793","Maplink3")</f>
        <v>Maplink3</v>
      </c>
    </row>
    <row r="557" spans="1:49" s="19" customFormat="1" x14ac:dyDescent="0.25">
      <c r="A557" s="9">
        <v>15442</v>
      </c>
      <c r="B557" s="10" t="s">
        <v>16</v>
      </c>
      <c r="C557" s="10" t="s">
        <v>16</v>
      </c>
      <c r="D557" s="10" t="s">
        <v>1749</v>
      </c>
      <c r="E557" s="10" t="s">
        <v>1750</v>
      </c>
      <c r="F557" s="10">
        <v>35.524788999999998</v>
      </c>
      <c r="G557" s="10">
        <v>44.384492000000002</v>
      </c>
      <c r="H557" s="11">
        <v>1500</v>
      </c>
      <c r="I557" s="11">
        <v>9000</v>
      </c>
      <c r="J557" s="11"/>
      <c r="K557" s="11"/>
      <c r="L557" s="11"/>
      <c r="M557" s="11"/>
      <c r="N557" s="11"/>
      <c r="O557" s="11"/>
      <c r="P557" s="11">
        <v>500</v>
      </c>
      <c r="Q557" s="11"/>
      <c r="R557" s="11"/>
      <c r="S557" s="11"/>
      <c r="T557" s="11"/>
      <c r="U557" s="11"/>
      <c r="V557" s="11"/>
      <c r="W557" s="11"/>
      <c r="X557" s="11"/>
      <c r="Y557" s="11">
        <v>1000</v>
      </c>
      <c r="Z557" s="11"/>
      <c r="AA557" s="11"/>
      <c r="AB557" s="11"/>
      <c r="AC557" s="11">
        <v>1500</v>
      </c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>
        <v>1500</v>
      </c>
      <c r="AU557" s="20" t="str">
        <f>HYPERLINK("http://www.openstreetmap.org/?mlat=35.5248&amp;mlon=44.3845&amp;zoom=12#map=12/35.5248/44.3845","Maplink1")</f>
        <v>Maplink1</v>
      </c>
      <c r="AV557" s="20" t="str">
        <f>HYPERLINK("https://www.google.iq/maps/search/+35.5248,44.3845/@35.5248,44.3845,14z?hl=en","Maplink2")</f>
        <v>Maplink2</v>
      </c>
      <c r="AW557" s="20" t="str">
        <f>HYPERLINK("http://www.bing.com/maps/?lvl=14&amp;sty=h&amp;cp=35.5248~44.3845&amp;sp=point.35.5248_44.3845","Maplink3")</f>
        <v>Maplink3</v>
      </c>
    </row>
    <row r="558" spans="1:49" s="19" customFormat="1" x14ac:dyDescent="0.25">
      <c r="A558" s="9">
        <v>15522</v>
      </c>
      <c r="B558" s="10" t="s">
        <v>16</v>
      </c>
      <c r="C558" s="10" t="s">
        <v>16</v>
      </c>
      <c r="D558" s="10" t="s">
        <v>1751</v>
      </c>
      <c r="E558" s="10" t="s">
        <v>1919</v>
      </c>
      <c r="F558" s="10">
        <v>35.737211000000002</v>
      </c>
      <c r="G558" s="10">
        <v>44.480522999999998</v>
      </c>
      <c r="H558" s="11">
        <v>150</v>
      </c>
      <c r="I558" s="11">
        <v>900</v>
      </c>
      <c r="J558" s="11"/>
      <c r="K558" s="11"/>
      <c r="L558" s="11"/>
      <c r="M558" s="11"/>
      <c r="N558" s="11"/>
      <c r="O558" s="11"/>
      <c r="P558" s="11">
        <v>150</v>
      </c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>
        <v>150</v>
      </c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>
        <v>150</v>
      </c>
      <c r="AU558" s="20" t="str">
        <f>HYPERLINK("http://www.openstreetmap.org/?mlat=35.7372&amp;mlon=44.4805&amp;zoom=12#map=12/35.7372/44.4805","Maplink1")</f>
        <v>Maplink1</v>
      </c>
      <c r="AV558" s="20" t="str">
        <f>HYPERLINK("https://www.google.iq/maps/search/+35.7372,44.4805/@35.7372,44.4805,14z?hl=en","Maplink2")</f>
        <v>Maplink2</v>
      </c>
      <c r="AW558" s="20" t="str">
        <f>HYPERLINK("http://www.bing.com/maps/?lvl=14&amp;sty=h&amp;cp=35.7372~44.4805&amp;sp=point.35.7372_44.4805","Maplink3")</f>
        <v>Maplink3</v>
      </c>
    </row>
    <row r="559" spans="1:49" s="19" customFormat="1" x14ac:dyDescent="0.25">
      <c r="A559" s="9">
        <v>17995</v>
      </c>
      <c r="B559" s="10" t="s">
        <v>20</v>
      </c>
      <c r="C559" s="10" t="s">
        <v>898</v>
      </c>
      <c r="D559" s="10" t="s">
        <v>899</v>
      </c>
      <c r="E559" s="10" t="s">
        <v>900</v>
      </c>
      <c r="F559" s="10">
        <v>36.025100000000002</v>
      </c>
      <c r="G559" s="10">
        <v>43.404400000000003</v>
      </c>
      <c r="H559" s="11">
        <v>248</v>
      </c>
      <c r="I559" s="11">
        <v>1488</v>
      </c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>
        <v>248</v>
      </c>
      <c r="W559" s="11"/>
      <c r="X559" s="11"/>
      <c r="Y559" s="11"/>
      <c r="Z559" s="11"/>
      <c r="AA559" s="11"/>
      <c r="AB559" s="11"/>
      <c r="AC559" s="11">
        <v>248</v>
      </c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>
        <v>248</v>
      </c>
      <c r="AT559" s="11"/>
      <c r="AU559" s="20" t="str">
        <f>HYPERLINK("http://www.openstreetmap.org/?mlat=36.0251&amp;mlon=43.4044&amp;zoom=12#map=12/36.0251/43.4044","Maplink1")</f>
        <v>Maplink1</v>
      </c>
      <c r="AV559" s="20" t="str">
        <f>HYPERLINK("https://www.google.iq/maps/search/+36.0251,43.4044/@36.0251,43.4044,14z?hl=en","Maplink2")</f>
        <v>Maplink2</v>
      </c>
      <c r="AW559" s="20" t="str">
        <f>HYPERLINK("http://www.bing.com/maps/?lvl=14&amp;sty=h&amp;cp=36.0251~43.4044&amp;sp=point.36.0251_43.4044","Maplink3")</f>
        <v>Maplink3</v>
      </c>
    </row>
    <row r="560" spans="1:49" s="19" customFormat="1" x14ac:dyDescent="0.25">
      <c r="A560" s="9">
        <v>22314</v>
      </c>
      <c r="B560" s="10" t="s">
        <v>20</v>
      </c>
      <c r="C560" s="10" t="s">
        <v>898</v>
      </c>
      <c r="D560" s="10" t="s">
        <v>901</v>
      </c>
      <c r="E560" s="10" t="s">
        <v>902</v>
      </c>
      <c r="F560" s="10">
        <v>36.350965000000002</v>
      </c>
      <c r="G560" s="10">
        <v>43.343226999999999</v>
      </c>
      <c r="H560" s="11">
        <v>801</v>
      </c>
      <c r="I560" s="11">
        <v>4806</v>
      </c>
      <c r="J560" s="11"/>
      <c r="K560" s="11">
        <v>52</v>
      </c>
      <c r="L560" s="11">
        <v>42</v>
      </c>
      <c r="M560" s="11"/>
      <c r="N560" s="11">
        <v>33</v>
      </c>
      <c r="O560" s="11"/>
      <c r="P560" s="11">
        <v>319</v>
      </c>
      <c r="Q560" s="11">
        <v>107</v>
      </c>
      <c r="R560" s="11"/>
      <c r="S560" s="11">
        <v>1</v>
      </c>
      <c r="T560" s="11"/>
      <c r="U560" s="11">
        <v>66</v>
      </c>
      <c r="V560" s="11">
        <v>82</v>
      </c>
      <c r="W560" s="11">
        <v>8</v>
      </c>
      <c r="X560" s="11"/>
      <c r="Y560" s="11">
        <v>4</v>
      </c>
      <c r="Z560" s="11">
        <v>6</v>
      </c>
      <c r="AA560" s="11">
        <v>81</v>
      </c>
      <c r="AB560" s="11"/>
      <c r="AC560" s="11">
        <v>801</v>
      </c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>
        <v>801</v>
      </c>
      <c r="AP560" s="11"/>
      <c r="AQ560" s="11"/>
      <c r="AR560" s="11"/>
      <c r="AS560" s="11"/>
      <c r="AT560" s="11"/>
      <c r="AU560" s="20" t="str">
        <f>HYPERLINK("http://www.openstreetmap.org/?mlat=36.351&amp;mlon=43.3432&amp;zoom=12#map=12/36.351/43.3432","Maplink1")</f>
        <v>Maplink1</v>
      </c>
      <c r="AV560" s="20" t="str">
        <f>HYPERLINK("https://www.google.iq/maps/search/+36.351,43.3432/@36.351,43.3432,14z?hl=en","Maplink2")</f>
        <v>Maplink2</v>
      </c>
      <c r="AW560" s="20" t="str">
        <f>HYPERLINK("http://www.bing.com/maps/?lvl=14&amp;sty=h&amp;cp=36.351~43.3432&amp;sp=point.36.351_43.3432","Maplink3")</f>
        <v>Maplink3</v>
      </c>
    </row>
    <row r="561" spans="1:49" s="19" customFormat="1" x14ac:dyDescent="0.25">
      <c r="A561" s="9">
        <v>17903</v>
      </c>
      <c r="B561" s="10" t="s">
        <v>20</v>
      </c>
      <c r="C561" s="10" t="s">
        <v>898</v>
      </c>
      <c r="D561" s="10" t="s">
        <v>903</v>
      </c>
      <c r="E561" s="10" t="s">
        <v>904</v>
      </c>
      <c r="F561" s="10">
        <v>36.143467999999999</v>
      </c>
      <c r="G561" s="10">
        <v>43.313338999999999</v>
      </c>
      <c r="H561" s="11">
        <v>126</v>
      </c>
      <c r="I561" s="11">
        <v>756</v>
      </c>
      <c r="J561" s="11"/>
      <c r="K561" s="11"/>
      <c r="L561" s="11">
        <v>9</v>
      </c>
      <c r="M561" s="11"/>
      <c r="N561" s="11"/>
      <c r="O561" s="11"/>
      <c r="P561" s="11">
        <v>19</v>
      </c>
      <c r="Q561" s="11">
        <v>26</v>
      </c>
      <c r="R561" s="11"/>
      <c r="S561" s="11"/>
      <c r="T561" s="11">
        <v>6</v>
      </c>
      <c r="U561" s="11">
        <v>33</v>
      </c>
      <c r="V561" s="11"/>
      <c r="W561" s="11">
        <v>8</v>
      </c>
      <c r="X561" s="11"/>
      <c r="Y561" s="11"/>
      <c r="Z561" s="11">
        <v>7</v>
      </c>
      <c r="AA561" s="11">
        <v>18</v>
      </c>
      <c r="AB561" s="11"/>
      <c r="AC561" s="11">
        <v>126</v>
      </c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>
        <v>126</v>
      </c>
      <c r="AP561" s="11"/>
      <c r="AQ561" s="11"/>
      <c r="AR561" s="11"/>
      <c r="AS561" s="11"/>
      <c r="AT561" s="11"/>
      <c r="AU561" s="20" t="str">
        <f>HYPERLINK("http://www.openstreetmap.org/?mlat=36.1435&amp;mlon=43.3133&amp;zoom=12#map=12/36.1435/43.3133","Maplink1")</f>
        <v>Maplink1</v>
      </c>
      <c r="AV561" s="20" t="str">
        <f>HYPERLINK("https://www.google.iq/maps/search/+36.1435,43.3133/@36.1435,43.3133,14z?hl=en","Maplink2")</f>
        <v>Maplink2</v>
      </c>
      <c r="AW561" s="20" t="str">
        <f>HYPERLINK("http://www.bing.com/maps/?lvl=14&amp;sty=h&amp;cp=36.1435~43.3133&amp;sp=point.36.1435_43.3133","Maplink3")</f>
        <v>Maplink3</v>
      </c>
    </row>
    <row r="562" spans="1:49" s="19" customFormat="1" x14ac:dyDescent="0.25">
      <c r="A562" s="9">
        <v>22211</v>
      </c>
      <c r="B562" s="10" t="s">
        <v>20</v>
      </c>
      <c r="C562" s="10" t="s">
        <v>898</v>
      </c>
      <c r="D562" s="10" t="s">
        <v>905</v>
      </c>
      <c r="E562" s="10" t="s">
        <v>906</v>
      </c>
      <c r="F562" s="10">
        <v>36.353264000000003</v>
      </c>
      <c r="G562" s="10">
        <v>43.322865</v>
      </c>
      <c r="H562" s="11">
        <v>184</v>
      </c>
      <c r="I562" s="11">
        <v>1104</v>
      </c>
      <c r="J562" s="11"/>
      <c r="K562" s="11">
        <v>16</v>
      </c>
      <c r="L562" s="11">
        <v>23</v>
      </c>
      <c r="M562" s="11"/>
      <c r="N562" s="11">
        <v>7</v>
      </c>
      <c r="O562" s="11"/>
      <c r="P562" s="11">
        <v>70</v>
      </c>
      <c r="Q562" s="11">
        <v>36</v>
      </c>
      <c r="R562" s="11"/>
      <c r="S562" s="11"/>
      <c r="T562" s="11">
        <v>4</v>
      </c>
      <c r="U562" s="11">
        <v>23</v>
      </c>
      <c r="V562" s="11">
        <v>2</v>
      </c>
      <c r="W562" s="11"/>
      <c r="X562" s="11"/>
      <c r="Y562" s="11"/>
      <c r="Z562" s="11"/>
      <c r="AA562" s="11">
        <v>3</v>
      </c>
      <c r="AB562" s="11"/>
      <c r="AC562" s="11">
        <v>184</v>
      </c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>
        <v>184</v>
      </c>
      <c r="AP562" s="11"/>
      <c r="AQ562" s="11"/>
      <c r="AR562" s="11"/>
      <c r="AS562" s="11"/>
      <c r="AT562" s="11"/>
      <c r="AU562" s="20" t="str">
        <f>HYPERLINK("http://www.openstreetmap.org/?mlat=36.3533&amp;mlon=43.3229&amp;zoom=12#map=12/36.3533/43.3229","Maplink1")</f>
        <v>Maplink1</v>
      </c>
      <c r="AV562" s="20" t="str">
        <f>HYPERLINK("https://www.google.iq/maps/search/+36.3533,43.3229/@36.3533,43.3229,14z?hl=en","Maplink2")</f>
        <v>Maplink2</v>
      </c>
      <c r="AW562" s="20" t="str">
        <f>HYPERLINK("http://www.bing.com/maps/?lvl=14&amp;sty=h&amp;cp=36.3533~43.3229&amp;sp=point.36.3533_43.3229","Maplink3")</f>
        <v>Maplink3</v>
      </c>
    </row>
    <row r="563" spans="1:49" s="19" customFormat="1" x14ac:dyDescent="0.25">
      <c r="A563" s="9">
        <v>21940</v>
      </c>
      <c r="B563" s="10" t="s">
        <v>20</v>
      </c>
      <c r="C563" s="10" t="s">
        <v>898</v>
      </c>
      <c r="D563" s="10" t="s">
        <v>907</v>
      </c>
      <c r="E563" s="10" t="s">
        <v>908</v>
      </c>
      <c r="F563" s="10">
        <v>36.299300000000002</v>
      </c>
      <c r="G563" s="10">
        <v>43.263061999999998</v>
      </c>
      <c r="H563" s="11">
        <v>115</v>
      </c>
      <c r="I563" s="11">
        <v>690</v>
      </c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>
        <v>115</v>
      </c>
      <c r="W563" s="11"/>
      <c r="X563" s="11"/>
      <c r="Y563" s="11"/>
      <c r="Z563" s="11"/>
      <c r="AA563" s="11"/>
      <c r="AB563" s="11"/>
      <c r="AC563" s="11">
        <v>115</v>
      </c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>
        <v>115</v>
      </c>
      <c r="AT563" s="11"/>
      <c r="AU563" s="20" t="str">
        <f>HYPERLINK("http://www.openstreetmap.org/?mlat=36.2993&amp;mlon=43.2631&amp;zoom=12#map=12/36.2993/43.2631","Maplink1")</f>
        <v>Maplink1</v>
      </c>
      <c r="AV563" s="20" t="str">
        <f>HYPERLINK("https://www.google.iq/maps/search/+36.2993,43.2631/@36.2993,43.2631,14z?hl=en","Maplink2")</f>
        <v>Maplink2</v>
      </c>
      <c r="AW563" s="20" t="str">
        <f>HYPERLINK("http://www.bing.com/maps/?lvl=14&amp;sty=h&amp;cp=36.2993~43.2631&amp;sp=point.36.2993_43.2631","Maplink3")</f>
        <v>Maplink3</v>
      </c>
    </row>
    <row r="564" spans="1:49" s="19" customFormat="1" x14ac:dyDescent="0.25">
      <c r="A564" s="9">
        <v>17991</v>
      </c>
      <c r="B564" s="10" t="s">
        <v>20</v>
      </c>
      <c r="C564" s="10" t="s">
        <v>898</v>
      </c>
      <c r="D564" s="10" t="s">
        <v>909</v>
      </c>
      <c r="E564" s="10" t="s">
        <v>910</v>
      </c>
      <c r="F564" s="10">
        <v>36.287300000000002</v>
      </c>
      <c r="G564" s="10">
        <v>43.294600000000003</v>
      </c>
      <c r="H564" s="11">
        <v>1000</v>
      </c>
      <c r="I564" s="11">
        <v>6000</v>
      </c>
      <c r="J564" s="11"/>
      <c r="K564" s="11">
        <v>31</v>
      </c>
      <c r="L564" s="11">
        <v>39</v>
      </c>
      <c r="M564" s="11"/>
      <c r="N564" s="11">
        <v>41</v>
      </c>
      <c r="O564" s="11"/>
      <c r="P564" s="11">
        <v>305</v>
      </c>
      <c r="Q564" s="11">
        <v>95</v>
      </c>
      <c r="R564" s="11"/>
      <c r="S564" s="11"/>
      <c r="T564" s="11"/>
      <c r="U564" s="11">
        <v>69</v>
      </c>
      <c r="V564" s="11">
        <v>108</v>
      </c>
      <c r="W564" s="11">
        <v>97</v>
      </c>
      <c r="X564" s="11"/>
      <c r="Y564" s="11"/>
      <c r="Z564" s="11">
        <v>40</v>
      </c>
      <c r="AA564" s="11">
        <v>175</v>
      </c>
      <c r="AB564" s="11"/>
      <c r="AC564" s="11">
        <v>1000</v>
      </c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>
        <v>1000</v>
      </c>
      <c r="AP564" s="11"/>
      <c r="AQ564" s="11"/>
      <c r="AR564" s="11"/>
      <c r="AS564" s="11"/>
      <c r="AT564" s="11"/>
      <c r="AU564" s="20" t="str">
        <f>HYPERLINK("http://www.openstreetmap.org/?mlat=36.2873&amp;mlon=43.2946&amp;zoom=12#map=12/36.2873/43.2946","Maplink1")</f>
        <v>Maplink1</v>
      </c>
      <c r="AV564" s="20" t="str">
        <f>HYPERLINK("https://www.google.iq/maps/search/+36.2873,43.2946/@36.2873,43.2946,14z?hl=en","Maplink2")</f>
        <v>Maplink2</v>
      </c>
      <c r="AW564" s="20" t="str">
        <f>HYPERLINK("http://www.bing.com/maps/?lvl=14&amp;sty=h&amp;cp=36.2873~43.2946&amp;sp=point.36.2873_43.2946","Maplink3")</f>
        <v>Maplink3</v>
      </c>
    </row>
    <row r="565" spans="1:49" s="19" customFormat="1" x14ac:dyDescent="0.25">
      <c r="A565" s="9">
        <v>32081</v>
      </c>
      <c r="B565" s="10" t="s">
        <v>20</v>
      </c>
      <c r="C565" s="10" t="s">
        <v>898</v>
      </c>
      <c r="D565" s="10" t="s">
        <v>911</v>
      </c>
      <c r="E565" s="10" t="s">
        <v>912</v>
      </c>
      <c r="F565" s="10">
        <v>36.273051000000002</v>
      </c>
      <c r="G565" s="10">
        <v>43.477196999999997</v>
      </c>
      <c r="H565" s="11">
        <v>154</v>
      </c>
      <c r="I565" s="11">
        <v>924</v>
      </c>
      <c r="J565" s="11"/>
      <c r="K565" s="11">
        <v>1</v>
      </c>
      <c r="L565" s="11"/>
      <c r="M565" s="11"/>
      <c r="N565" s="11">
        <v>1</v>
      </c>
      <c r="O565" s="11"/>
      <c r="P565" s="11">
        <v>119</v>
      </c>
      <c r="Q565" s="11"/>
      <c r="R565" s="11"/>
      <c r="S565" s="11"/>
      <c r="T565" s="11"/>
      <c r="U565" s="11">
        <v>1</v>
      </c>
      <c r="V565" s="11">
        <v>13</v>
      </c>
      <c r="W565" s="11">
        <v>2</v>
      </c>
      <c r="X565" s="11"/>
      <c r="Y565" s="11">
        <v>16</v>
      </c>
      <c r="Z565" s="11"/>
      <c r="AA565" s="11">
        <v>1</v>
      </c>
      <c r="AB565" s="11"/>
      <c r="AC565" s="11">
        <v>154</v>
      </c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>
        <v>154</v>
      </c>
      <c r="AP565" s="11"/>
      <c r="AQ565" s="11"/>
      <c r="AR565" s="11"/>
      <c r="AS565" s="11"/>
      <c r="AT565" s="11"/>
      <c r="AU565" s="20" t="str">
        <f>HYPERLINK("http://www.openstreetmap.org/?mlat=36.2731&amp;mlon=43.4772&amp;zoom=12#map=12/36.2731/43.4772","Maplink1")</f>
        <v>Maplink1</v>
      </c>
      <c r="AV565" s="20" t="str">
        <f>HYPERLINK("https://www.google.iq/maps/search/+36.2731,43.4772/@36.2731,43.4772,14z?hl=en","Maplink2")</f>
        <v>Maplink2</v>
      </c>
      <c r="AW565" s="20" t="str">
        <f>HYPERLINK("http://www.bing.com/maps/?lvl=14&amp;sty=h&amp;cp=36.2731~43.4772&amp;sp=point.36.2731_43.4772","Maplink3")</f>
        <v>Maplink3</v>
      </c>
    </row>
    <row r="566" spans="1:49" s="19" customFormat="1" x14ac:dyDescent="0.25">
      <c r="A566" s="9">
        <v>32080</v>
      </c>
      <c r="B566" s="10" t="s">
        <v>20</v>
      </c>
      <c r="C566" s="10" t="s">
        <v>898</v>
      </c>
      <c r="D566" s="10" t="s">
        <v>913</v>
      </c>
      <c r="E566" s="10" t="s">
        <v>914</v>
      </c>
      <c r="F566" s="10">
        <v>36.300451000000002</v>
      </c>
      <c r="G566" s="10">
        <v>43.472895999999999</v>
      </c>
      <c r="H566" s="11">
        <v>29</v>
      </c>
      <c r="I566" s="11">
        <v>174</v>
      </c>
      <c r="J566" s="11"/>
      <c r="K566" s="11"/>
      <c r="L566" s="11"/>
      <c r="M566" s="11"/>
      <c r="N566" s="11"/>
      <c r="O566" s="11"/>
      <c r="P566" s="11">
        <v>27</v>
      </c>
      <c r="Q566" s="11"/>
      <c r="R566" s="11"/>
      <c r="S566" s="11">
        <v>2</v>
      </c>
      <c r="T566" s="11"/>
      <c r="U566" s="11"/>
      <c r="V566" s="11"/>
      <c r="W566" s="11"/>
      <c r="X566" s="11"/>
      <c r="Y566" s="11"/>
      <c r="Z566" s="11"/>
      <c r="AA566" s="11"/>
      <c r="AB566" s="11"/>
      <c r="AC566" s="11">
        <v>29</v>
      </c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>
        <v>29</v>
      </c>
      <c r="AP566" s="11"/>
      <c r="AQ566" s="11"/>
      <c r="AR566" s="11"/>
      <c r="AS566" s="11"/>
      <c r="AT566" s="11"/>
      <c r="AU566" s="20" t="str">
        <f>HYPERLINK("http://www.openstreetmap.org/?mlat=36.3005&amp;mlon=43.4729&amp;zoom=12#map=12/36.3005/43.4729","Maplink1")</f>
        <v>Maplink1</v>
      </c>
      <c r="AV566" s="20" t="str">
        <f>HYPERLINK("https://www.google.iq/maps/search/+36.3005,43.4729/@36.3005,43.4729,14z?hl=en","Maplink2")</f>
        <v>Maplink2</v>
      </c>
      <c r="AW566" s="20" t="str">
        <f>HYPERLINK("http://www.bing.com/maps/?lvl=14&amp;sty=h&amp;cp=36.3005~43.4729&amp;sp=point.36.3005_43.4729","Maplink3")</f>
        <v>Maplink3</v>
      </c>
    </row>
    <row r="567" spans="1:49" s="19" customFormat="1" x14ac:dyDescent="0.25">
      <c r="A567" s="9">
        <v>17131</v>
      </c>
      <c r="B567" s="10" t="s">
        <v>20</v>
      </c>
      <c r="C567" s="10" t="s">
        <v>898</v>
      </c>
      <c r="D567" s="10" t="s">
        <v>915</v>
      </c>
      <c r="E567" s="10" t="s">
        <v>916</v>
      </c>
      <c r="F567" s="10">
        <v>36.353861999999999</v>
      </c>
      <c r="G567" s="10">
        <v>43.378590000000003</v>
      </c>
      <c r="H567" s="11">
        <v>804</v>
      </c>
      <c r="I567" s="11">
        <v>4824</v>
      </c>
      <c r="J567" s="11"/>
      <c r="K567" s="11">
        <v>17</v>
      </c>
      <c r="L567" s="11">
        <v>30</v>
      </c>
      <c r="M567" s="11"/>
      <c r="N567" s="11">
        <v>66</v>
      </c>
      <c r="O567" s="11">
        <v>3</v>
      </c>
      <c r="P567" s="11">
        <v>499</v>
      </c>
      <c r="Q567" s="11">
        <v>24</v>
      </c>
      <c r="R567" s="11"/>
      <c r="S567" s="11">
        <v>7</v>
      </c>
      <c r="T567" s="11">
        <v>18</v>
      </c>
      <c r="U567" s="11">
        <v>59</v>
      </c>
      <c r="V567" s="11">
        <v>4</v>
      </c>
      <c r="W567" s="11">
        <v>13</v>
      </c>
      <c r="X567" s="11"/>
      <c r="Y567" s="11">
        <v>11</v>
      </c>
      <c r="Z567" s="11">
        <v>4</v>
      </c>
      <c r="AA567" s="11">
        <v>49</v>
      </c>
      <c r="AB567" s="11"/>
      <c r="AC567" s="11">
        <v>804</v>
      </c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>
        <v>804</v>
      </c>
      <c r="AP567" s="11"/>
      <c r="AQ567" s="11"/>
      <c r="AR567" s="11"/>
      <c r="AS567" s="11"/>
      <c r="AT567" s="11"/>
      <c r="AU567" s="20" t="str">
        <f>HYPERLINK("http://www.openstreetmap.org/?mlat=36.3539&amp;mlon=43.3786&amp;zoom=12#map=12/36.3539/43.3786","Maplink1")</f>
        <v>Maplink1</v>
      </c>
      <c r="AV567" s="20" t="str">
        <f>HYPERLINK("https://www.google.iq/maps/search/+36.3539,43.3786/@36.3539,43.3786,14z?hl=en","Maplink2")</f>
        <v>Maplink2</v>
      </c>
      <c r="AW567" s="20" t="str">
        <f>HYPERLINK("http://www.bing.com/maps/?lvl=14&amp;sty=h&amp;cp=36.3539~43.3786&amp;sp=point.36.3539_43.3786","Maplink3")</f>
        <v>Maplink3</v>
      </c>
    </row>
    <row r="568" spans="1:49" s="19" customFormat="1" x14ac:dyDescent="0.25">
      <c r="A568" s="9">
        <v>17385</v>
      </c>
      <c r="B568" s="10" t="s">
        <v>20</v>
      </c>
      <c r="C568" s="10" t="s">
        <v>898</v>
      </c>
      <c r="D568" s="10" t="s">
        <v>917</v>
      </c>
      <c r="E568" s="10" t="s">
        <v>918</v>
      </c>
      <c r="F568" s="10">
        <v>36.365338000000001</v>
      </c>
      <c r="G568" s="10">
        <v>43.428100000000001</v>
      </c>
      <c r="H568" s="11">
        <v>430</v>
      </c>
      <c r="I568" s="11">
        <v>2580</v>
      </c>
      <c r="J568" s="11"/>
      <c r="K568" s="11"/>
      <c r="L568" s="11"/>
      <c r="M568" s="11"/>
      <c r="N568" s="11">
        <v>5</v>
      </c>
      <c r="O568" s="11"/>
      <c r="P568" s="11">
        <v>357</v>
      </c>
      <c r="Q568" s="11"/>
      <c r="R568" s="11"/>
      <c r="S568" s="11"/>
      <c r="T568" s="11"/>
      <c r="U568" s="11"/>
      <c r="V568" s="11">
        <v>68</v>
      </c>
      <c r="W568" s="11"/>
      <c r="X568" s="11"/>
      <c r="Y568" s="11"/>
      <c r="Z568" s="11"/>
      <c r="AA568" s="11"/>
      <c r="AB568" s="11"/>
      <c r="AC568" s="11">
        <v>430</v>
      </c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>
        <v>415</v>
      </c>
      <c r="AP568" s="11"/>
      <c r="AQ568" s="11"/>
      <c r="AR568" s="11"/>
      <c r="AS568" s="11">
        <v>15</v>
      </c>
      <c r="AT568" s="11"/>
      <c r="AU568" s="20" t="str">
        <f>HYPERLINK("http://www.openstreetmap.org/?mlat=36.3653&amp;mlon=43.4281&amp;zoom=12#map=12/36.3653/43.4281","Maplink1")</f>
        <v>Maplink1</v>
      </c>
      <c r="AV568" s="20" t="str">
        <f>HYPERLINK("https://www.google.iq/maps/search/+36.3653,43.4281/@36.3653,43.4281,14z?hl=en","Maplink2")</f>
        <v>Maplink2</v>
      </c>
      <c r="AW568" s="20" t="str">
        <f>HYPERLINK("http://www.bing.com/maps/?lvl=14&amp;sty=h&amp;cp=36.3653~43.4281&amp;sp=point.36.3653_43.4281","Maplink3")</f>
        <v>Maplink3</v>
      </c>
    </row>
    <row r="569" spans="1:49" s="19" customFormat="1" x14ac:dyDescent="0.25">
      <c r="A569" s="9">
        <v>17766</v>
      </c>
      <c r="B569" s="10" t="s">
        <v>20</v>
      </c>
      <c r="C569" s="10" t="s">
        <v>898</v>
      </c>
      <c r="D569" s="10" t="s">
        <v>919</v>
      </c>
      <c r="E569" s="10" t="s">
        <v>920</v>
      </c>
      <c r="F569" s="10">
        <v>36.334273000000003</v>
      </c>
      <c r="G569" s="10">
        <v>43.356608999999999</v>
      </c>
      <c r="H569" s="11">
        <v>746</v>
      </c>
      <c r="I569" s="11">
        <v>4476</v>
      </c>
      <c r="J569" s="11"/>
      <c r="K569" s="11">
        <v>31</v>
      </c>
      <c r="L569" s="11">
        <v>89</v>
      </c>
      <c r="M569" s="11">
        <v>1</v>
      </c>
      <c r="N569" s="11">
        <v>15</v>
      </c>
      <c r="O569" s="11"/>
      <c r="P569" s="11">
        <v>228</v>
      </c>
      <c r="Q569" s="11">
        <v>38</v>
      </c>
      <c r="R569" s="11"/>
      <c r="S569" s="11">
        <v>3</v>
      </c>
      <c r="T569" s="11">
        <v>7</v>
      </c>
      <c r="U569" s="11">
        <v>119</v>
      </c>
      <c r="V569" s="11">
        <v>37</v>
      </c>
      <c r="W569" s="11">
        <v>63</v>
      </c>
      <c r="X569" s="11"/>
      <c r="Y569" s="11">
        <v>37</v>
      </c>
      <c r="Z569" s="11">
        <v>25</v>
      </c>
      <c r="AA569" s="11">
        <v>53</v>
      </c>
      <c r="AB569" s="11"/>
      <c r="AC569" s="11">
        <v>746</v>
      </c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>
        <v>746</v>
      </c>
      <c r="AP569" s="11"/>
      <c r="AQ569" s="11"/>
      <c r="AR569" s="11"/>
      <c r="AS569" s="11"/>
      <c r="AT569" s="11"/>
      <c r="AU569" s="20" t="str">
        <f>HYPERLINK("http://www.openstreetmap.org/?mlat=36.3343&amp;mlon=43.3566&amp;zoom=12#map=12/36.3343/43.3566","Maplink1")</f>
        <v>Maplink1</v>
      </c>
      <c r="AV569" s="20" t="str">
        <f>HYPERLINK("https://www.google.iq/maps/search/+36.3343,43.3566/@36.3343,43.3566,14z?hl=en","Maplink2")</f>
        <v>Maplink2</v>
      </c>
      <c r="AW569" s="20" t="str">
        <f>HYPERLINK("http://www.bing.com/maps/?lvl=14&amp;sty=h&amp;cp=36.3343~43.3566&amp;sp=point.36.3343_43.3566","Maplink3")</f>
        <v>Maplink3</v>
      </c>
    </row>
    <row r="570" spans="1:49" s="19" customFormat="1" x14ac:dyDescent="0.25">
      <c r="A570" s="9">
        <v>17383</v>
      </c>
      <c r="B570" s="10" t="s">
        <v>20</v>
      </c>
      <c r="C570" s="10" t="s">
        <v>898</v>
      </c>
      <c r="D570" s="10" t="s">
        <v>921</v>
      </c>
      <c r="E570" s="10" t="s">
        <v>922</v>
      </c>
      <c r="F570" s="10">
        <v>36.340828999999999</v>
      </c>
      <c r="G570" s="10">
        <v>43.447302000000001</v>
      </c>
      <c r="H570" s="11">
        <v>225</v>
      </c>
      <c r="I570" s="11">
        <v>1350</v>
      </c>
      <c r="J570" s="11"/>
      <c r="K570" s="11">
        <v>3</v>
      </c>
      <c r="L570" s="11">
        <v>5</v>
      </c>
      <c r="M570" s="11"/>
      <c r="N570" s="11"/>
      <c r="O570" s="11"/>
      <c r="P570" s="11">
        <v>204</v>
      </c>
      <c r="Q570" s="11">
        <v>4</v>
      </c>
      <c r="R570" s="11"/>
      <c r="S570" s="11"/>
      <c r="T570" s="11"/>
      <c r="U570" s="11"/>
      <c r="V570" s="11">
        <v>6</v>
      </c>
      <c r="W570" s="11"/>
      <c r="X570" s="11"/>
      <c r="Y570" s="11"/>
      <c r="Z570" s="11"/>
      <c r="AA570" s="11">
        <v>3</v>
      </c>
      <c r="AB570" s="11"/>
      <c r="AC570" s="11">
        <v>225</v>
      </c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>
        <v>225</v>
      </c>
      <c r="AP570" s="11"/>
      <c r="AQ570" s="11"/>
      <c r="AR570" s="11"/>
      <c r="AS570" s="11"/>
      <c r="AT570" s="11"/>
      <c r="AU570" s="20" t="str">
        <f>HYPERLINK("http://www.openstreetmap.org/?mlat=36.3408&amp;mlon=43.4473&amp;zoom=12#map=12/36.3408/43.4473","Maplink1")</f>
        <v>Maplink1</v>
      </c>
      <c r="AV570" s="20" t="str">
        <f>HYPERLINK("https://www.google.iq/maps/search/+36.3408,43.4473/@36.3408,43.4473,14z?hl=en","Maplink2")</f>
        <v>Maplink2</v>
      </c>
      <c r="AW570" s="20" t="str">
        <f>HYPERLINK("http://www.bing.com/maps/?lvl=14&amp;sty=h&amp;cp=36.3408~43.4473&amp;sp=point.36.3408_43.4473","Maplink3")</f>
        <v>Maplink3</v>
      </c>
    </row>
    <row r="571" spans="1:49" s="19" customFormat="1" x14ac:dyDescent="0.25">
      <c r="A571" s="9">
        <v>17386</v>
      </c>
      <c r="B571" s="10" t="s">
        <v>20</v>
      </c>
      <c r="C571" s="10" t="s">
        <v>898</v>
      </c>
      <c r="D571" s="10" t="s">
        <v>923</v>
      </c>
      <c r="E571" s="10" t="s">
        <v>924</v>
      </c>
      <c r="F571" s="10">
        <v>36.227550999999998</v>
      </c>
      <c r="G571" s="10">
        <v>43.416507000000003</v>
      </c>
      <c r="H571" s="11">
        <v>315</v>
      </c>
      <c r="I571" s="11">
        <v>1890</v>
      </c>
      <c r="J571" s="11"/>
      <c r="K571" s="11"/>
      <c r="L571" s="11">
        <v>10</v>
      </c>
      <c r="M571" s="11">
        <v>2</v>
      </c>
      <c r="N571" s="11"/>
      <c r="O571" s="11"/>
      <c r="P571" s="11">
        <v>143</v>
      </c>
      <c r="Q571" s="11">
        <v>21</v>
      </c>
      <c r="R571" s="11"/>
      <c r="S571" s="11">
        <v>8</v>
      </c>
      <c r="T571" s="11"/>
      <c r="U571" s="11">
        <v>20</v>
      </c>
      <c r="V571" s="11">
        <v>111</v>
      </c>
      <c r="W571" s="11"/>
      <c r="X571" s="11"/>
      <c r="Y571" s="11"/>
      <c r="Z571" s="11"/>
      <c r="AA571" s="11"/>
      <c r="AB571" s="11"/>
      <c r="AC571" s="11">
        <v>315</v>
      </c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>
        <v>204</v>
      </c>
      <c r="AP571" s="11"/>
      <c r="AQ571" s="11"/>
      <c r="AR571" s="11"/>
      <c r="AS571" s="11">
        <v>111</v>
      </c>
      <c r="AT571" s="11"/>
      <c r="AU571" s="20" t="str">
        <f>HYPERLINK("http://www.openstreetmap.org/?mlat=36.2276&amp;mlon=43.4165&amp;zoom=12#map=12/36.2276/43.4165","Maplink1")</f>
        <v>Maplink1</v>
      </c>
      <c r="AV571" s="20" t="str">
        <f>HYPERLINK("https://www.google.iq/maps/search/+36.2276,43.4165/@36.2276,43.4165,14z?hl=en","Maplink2")</f>
        <v>Maplink2</v>
      </c>
      <c r="AW571" s="20" t="str">
        <f>HYPERLINK("http://www.bing.com/maps/?lvl=14&amp;sty=h&amp;cp=36.2276~43.4165&amp;sp=point.36.2276_43.4165","Maplink3")</f>
        <v>Maplink3</v>
      </c>
    </row>
    <row r="572" spans="1:49" s="19" customFormat="1" x14ac:dyDescent="0.25">
      <c r="A572" s="9">
        <v>29643</v>
      </c>
      <c r="B572" s="10" t="s">
        <v>20</v>
      </c>
      <c r="C572" s="10" t="s">
        <v>898</v>
      </c>
      <c r="D572" s="10" t="s">
        <v>925</v>
      </c>
      <c r="E572" s="10" t="s">
        <v>926</v>
      </c>
      <c r="F572" s="10">
        <v>36.033499999999997</v>
      </c>
      <c r="G572" s="10">
        <v>43.435499999999998</v>
      </c>
      <c r="H572" s="11">
        <v>188</v>
      </c>
      <c r="I572" s="11">
        <v>1128</v>
      </c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>
        <v>188</v>
      </c>
      <c r="W572" s="11"/>
      <c r="X572" s="11"/>
      <c r="Y572" s="11"/>
      <c r="Z572" s="11"/>
      <c r="AA572" s="11"/>
      <c r="AB572" s="11"/>
      <c r="AC572" s="11">
        <v>188</v>
      </c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>
        <v>188</v>
      </c>
      <c r="AT572" s="11"/>
      <c r="AU572" s="20" t="str">
        <f>HYPERLINK("http://www.openstreetmap.org/?mlat=36.0335&amp;mlon=43.4355&amp;zoom=12#map=12/36.0335/43.4355","Maplink1")</f>
        <v>Maplink1</v>
      </c>
      <c r="AV572" s="20" t="str">
        <f>HYPERLINK("https://www.google.iq/maps/search/+36.0335,43.4355/@36.0335,43.4355,14z?hl=en","Maplink2")</f>
        <v>Maplink2</v>
      </c>
      <c r="AW572" s="20" t="str">
        <f>HYPERLINK("http://www.bing.com/maps/?lvl=14&amp;sty=h&amp;cp=36.0335~43.4355&amp;sp=point.36.0335_43.4355","Maplink3")</f>
        <v>Maplink3</v>
      </c>
    </row>
    <row r="573" spans="1:49" s="19" customFormat="1" x14ac:dyDescent="0.25">
      <c r="A573" s="9">
        <v>17399</v>
      </c>
      <c r="B573" s="10" t="s">
        <v>20</v>
      </c>
      <c r="C573" s="10" t="s">
        <v>898</v>
      </c>
      <c r="D573" s="10" t="s">
        <v>927</v>
      </c>
      <c r="E573" s="10" t="s">
        <v>928</v>
      </c>
      <c r="F573" s="10">
        <v>36.288058999999997</v>
      </c>
      <c r="G573" s="10">
        <v>43.242710000000002</v>
      </c>
      <c r="H573" s="11">
        <v>320</v>
      </c>
      <c r="I573" s="11">
        <v>1920</v>
      </c>
      <c r="J573" s="11"/>
      <c r="K573" s="11"/>
      <c r="L573" s="11"/>
      <c r="M573" s="11"/>
      <c r="N573" s="11"/>
      <c r="O573" s="11"/>
      <c r="P573" s="11">
        <v>31</v>
      </c>
      <c r="Q573" s="11"/>
      <c r="R573" s="11"/>
      <c r="S573" s="11"/>
      <c r="T573" s="11"/>
      <c r="U573" s="11">
        <v>17</v>
      </c>
      <c r="V573" s="11">
        <v>263</v>
      </c>
      <c r="W573" s="11">
        <v>2</v>
      </c>
      <c r="X573" s="11"/>
      <c r="Y573" s="11"/>
      <c r="Z573" s="11"/>
      <c r="AA573" s="11">
        <v>7</v>
      </c>
      <c r="AB573" s="11"/>
      <c r="AC573" s="11">
        <v>320</v>
      </c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>
        <v>60</v>
      </c>
      <c r="AP573" s="11"/>
      <c r="AQ573" s="11"/>
      <c r="AR573" s="11"/>
      <c r="AS573" s="11">
        <v>260</v>
      </c>
      <c r="AT573" s="11"/>
      <c r="AU573" s="20" t="str">
        <f>HYPERLINK("http://www.openstreetmap.org/?mlat=36.2881&amp;mlon=43.2427&amp;zoom=12#map=12/36.2881/43.2427","Maplink1")</f>
        <v>Maplink1</v>
      </c>
      <c r="AV573" s="20" t="str">
        <f>HYPERLINK("https://www.google.iq/maps/search/+36.2881,43.2427/@36.2881,43.2427,14z?hl=en","Maplink2")</f>
        <v>Maplink2</v>
      </c>
      <c r="AW573" s="20" t="str">
        <f>HYPERLINK("http://www.bing.com/maps/?lvl=14&amp;sty=h&amp;cp=36.2881~43.2427&amp;sp=point.36.2881_43.2427","Maplink3")</f>
        <v>Maplink3</v>
      </c>
    </row>
    <row r="574" spans="1:49" s="19" customFormat="1" x14ac:dyDescent="0.25">
      <c r="A574" s="9">
        <v>17376</v>
      </c>
      <c r="B574" s="10" t="s">
        <v>20</v>
      </c>
      <c r="C574" s="10" t="s">
        <v>898</v>
      </c>
      <c r="D574" s="10" t="s">
        <v>929</v>
      </c>
      <c r="E574" s="10" t="s">
        <v>930</v>
      </c>
      <c r="F574" s="10">
        <v>36.242984999999997</v>
      </c>
      <c r="G574" s="10">
        <v>43.449272999999998</v>
      </c>
      <c r="H574" s="11">
        <v>615</v>
      </c>
      <c r="I574" s="11">
        <v>3690</v>
      </c>
      <c r="J574" s="11"/>
      <c r="K574" s="11"/>
      <c r="L574" s="11">
        <v>25</v>
      </c>
      <c r="M574" s="11">
        <v>3</v>
      </c>
      <c r="N574" s="11"/>
      <c r="O574" s="11"/>
      <c r="P574" s="11">
        <v>529</v>
      </c>
      <c r="Q574" s="11"/>
      <c r="R574" s="11"/>
      <c r="S574" s="11"/>
      <c r="T574" s="11"/>
      <c r="U574" s="11">
        <v>26</v>
      </c>
      <c r="V574" s="11">
        <v>16</v>
      </c>
      <c r="W574" s="11">
        <v>6</v>
      </c>
      <c r="X574" s="11"/>
      <c r="Y574" s="11"/>
      <c r="Z574" s="11"/>
      <c r="AA574" s="11">
        <v>10</v>
      </c>
      <c r="AB574" s="11"/>
      <c r="AC574" s="11">
        <v>615</v>
      </c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>
        <v>615</v>
      </c>
      <c r="AP574" s="11"/>
      <c r="AQ574" s="11"/>
      <c r="AR574" s="11"/>
      <c r="AS574" s="11"/>
      <c r="AT574" s="11"/>
      <c r="AU574" s="20" t="str">
        <f>HYPERLINK("http://www.openstreetmap.org/?mlat=36.243&amp;mlon=43.4493&amp;zoom=12#map=12/36.243/43.4493","Maplink1")</f>
        <v>Maplink1</v>
      </c>
      <c r="AV574" s="20" t="str">
        <f>HYPERLINK("https://www.google.iq/maps/search/+36.243,43.4493/@36.243,43.4493,14z?hl=en","Maplink2")</f>
        <v>Maplink2</v>
      </c>
      <c r="AW574" s="20" t="str">
        <f>HYPERLINK("http://www.bing.com/maps/?lvl=14&amp;sty=h&amp;cp=36.243~43.4493&amp;sp=point.36.243_43.4493","Maplink3")</f>
        <v>Maplink3</v>
      </c>
    </row>
    <row r="575" spans="1:49" s="19" customFormat="1" x14ac:dyDescent="0.25">
      <c r="A575" s="9">
        <v>21017</v>
      </c>
      <c r="B575" s="10" t="s">
        <v>20</v>
      </c>
      <c r="C575" s="10" t="s">
        <v>898</v>
      </c>
      <c r="D575" s="10" t="s">
        <v>1607</v>
      </c>
      <c r="E575" s="10" t="s">
        <v>1608</v>
      </c>
      <c r="F575" s="10">
        <v>36.303679000000002</v>
      </c>
      <c r="G575" s="10">
        <v>43.412779999999998</v>
      </c>
      <c r="H575" s="11">
        <v>320</v>
      </c>
      <c r="I575" s="11">
        <v>1920</v>
      </c>
      <c r="J575" s="11"/>
      <c r="K575" s="11">
        <v>4</v>
      </c>
      <c r="L575" s="11">
        <v>70</v>
      </c>
      <c r="M575" s="11"/>
      <c r="N575" s="11">
        <v>3</v>
      </c>
      <c r="O575" s="11"/>
      <c r="P575" s="11">
        <v>217</v>
      </c>
      <c r="Q575" s="11">
        <v>5</v>
      </c>
      <c r="R575" s="11">
        <v>1</v>
      </c>
      <c r="S575" s="11"/>
      <c r="T575" s="11"/>
      <c r="U575" s="11">
        <v>9</v>
      </c>
      <c r="V575" s="11"/>
      <c r="W575" s="11"/>
      <c r="X575" s="11"/>
      <c r="Y575" s="11"/>
      <c r="Z575" s="11">
        <v>11</v>
      </c>
      <c r="AA575" s="11"/>
      <c r="AB575" s="11"/>
      <c r="AC575" s="11">
        <v>320</v>
      </c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>
        <v>320</v>
      </c>
      <c r="AP575" s="11"/>
      <c r="AQ575" s="11"/>
      <c r="AR575" s="11"/>
      <c r="AS575" s="11"/>
      <c r="AT575" s="11"/>
      <c r="AU575" s="20" t="str">
        <f>HYPERLINK("http://www.openstreetmap.org/?mlat=36.3037&amp;mlon=43.4128&amp;zoom=12#map=12/36.3037/43.4128","Maplink1")</f>
        <v>Maplink1</v>
      </c>
      <c r="AV575" s="20" t="str">
        <f>HYPERLINK("https://www.google.iq/maps/search/+36.3037,43.4128/@36.3037,43.4128,14z?hl=en","Maplink2")</f>
        <v>Maplink2</v>
      </c>
      <c r="AW575" s="20" t="str">
        <f>HYPERLINK("http://www.bing.com/maps/?lvl=14&amp;sty=h&amp;cp=36.3037~43.4128&amp;sp=point.36.3037_43.4128","Maplink3")</f>
        <v>Maplink3</v>
      </c>
    </row>
    <row r="576" spans="1:49" s="19" customFormat="1" x14ac:dyDescent="0.25">
      <c r="A576" s="9">
        <v>29611</v>
      </c>
      <c r="B576" s="10" t="s">
        <v>20</v>
      </c>
      <c r="C576" s="10" t="s">
        <v>898</v>
      </c>
      <c r="D576" s="10" t="s">
        <v>931</v>
      </c>
      <c r="E576" s="10" t="s">
        <v>932</v>
      </c>
      <c r="F576" s="10">
        <v>36.209584999999997</v>
      </c>
      <c r="G576" s="10">
        <v>43.526522</v>
      </c>
      <c r="H576" s="11">
        <v>377</v>
      </c>
      <c r="I576" s="11">
        <v>2262</v>
      </c>
      <c r="J576" s="11"/>
      <c r="K576" s="11"/>
      <c r="L576" s="11"/>
      <c r="M576" s="11"/>
      <c r="N576" s="11">
        <v>100</v>
      </c>
      <c r="O576" s="11"/>
      <c r="P576" s="11">
        <v>277</v>
      </c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>
        <v>377</v>
      </c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>
        <v>377</v>
      </c>
      <c r="AP576" s="11"/>
      <c r="AQ576" s="11"/>
      <c r="AR576" s="11"/>
      <c r="AS576" s="11"/>
      <c r="AT576" s="11"/>
      <c r="AU576" s="20" t="str">
        <f>HYPERLINK("http://www.openstreetmap.org/?mlat=36.2096&amp;mlon=43.5265&amp;zoom=12#map=12/36.2096/43.5265","Maplink1")</f>
        <v>Maplink1</v>
      </c>
      <c r="AV576" s="20" t="str">
        <f>HYPERLINK("https://www.google.iq/maps/search/+36.2096,43.5265/@36.2096,43.5265,14z?hl=en","Maplink2")</f>
        <v>Maplink2</v>
      </c>
      <c r="AW576" s="20" t="str">
        <f>HYPERLINK("http://www.bing.com/maps/?lvl=14&amp;sty=h&amp;cp=36.2096~43.5265&amp;sp=point.36.2096_43.5265","Maplink3")</f>
        <v>Maplink3</v>
      </c>
    </row>
    <row r="577" spans="1:49" s="19" customFormat="1" x14ac:dyDescent="0.25">
      <c r="A577" s="9">
        <v>17375</v>
      </c>
      <c r="B577" s="10" t="s">
        <v>20</v>
      </c>
      <c r="C577" s="10" t="s">
        <v>898</v>
      </c>
      <c r="D577" s="10" t="s">
        <v>933</v>
      </c>
      <c r="E577" s="10" t="s">
        <v>934</v>
      </c>
      <c r="F577" s="10">
        <v>36.214646000000002</v>
      </c>
      <c r="G577" s="10">
        <v>43.449860000000001</v>
      </c>
      <c r="H577" s="11">
        <v>252</v>
      </c>
      <c r="I577" s="11">
        <v>1512</v>
      </c>
      <c r="J577" s="11"/>
      <c r="K577" s="11">
        <v>31</v>
      </c>
      <c r="L577" s="11">
        <v>45</v>
      </c>
      <c r="M577" s="11"/>
      <c r="N577" s="11"/>
      <c r="O577" s="11"/>
      <c r="P577" s="11">
        <v>94</v>
      </c>
      <c r="Q577" s="11"/>
      <c r="R577" s="11"/>
      <c r="S577" s="11"/>
      <c r="T577" s="11"/>
      <c r="U577" s="11">
        <v>29</v>
      </c>
      <c r="V577" s="11">
        <v>22</v>
      </c>
      <c r="W577" s="11"/>
      <c r="X577" s="11"/>
      <c r="Y577" s="11">
        <v>1</v>
      </c>
      <c r="Z577" s="11">
        <v>10</v>
      </c>
      <c r="AA577" s="11">
        <v>20</v>
      </c>
      <c r="AB577" s="11"/>
      <c r="AC577" s="11">
        <v>252</v>
      </c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>
        <v>252</v>
      </c>
      <c r="AP577" s="11"/>
      <c r="AQ577" s="11"/>
      <c r="AR577" s="11"/>
      <c r="AS577" s="11"/>
      <c r="AT577" s="11"/>
      <c r="AU577" s="20" t="str">
        <f>HYPERLINK("http://www.openstreetmap.org/?mlat=36.2146&amp;mlon=43.4499&amp;zoom=12#map=12/36.2146/43.4499","Maplink1")</f>
        <v>Maplink1</v>
      </c>
      <c r="AV577" s="20" t="str">
        <f>HYPERLINK("https://www.google.iq/maps/search/+36.2146,43.4499/@36.2146,43.4499,14z?hl=en","Maplink2")</f>
        <v>Maplink2</v>
      </c>
      <c r="AW577" s="20" t="str">
        <f>HYPERLINK("http://www.bing.com/maps/?lvl=14&amp;sty=h&amp;cp=36.2146~43.4499&amp;sp=point.36.2146_43.4499","Maplink3")</f>
        <v>Maplink3</v>
      </c>
    </row>
    <row r="578" spans="1:49" s="19" customFormat="1" x14ac:dyDescent="0.25">
      <c r="A578" s="9">
        <v>23699</v>
      </c>
      <c r="B578" s="10" t="s">
        <v>20</v>
      </c>
      <c r="C578" s="10" t="s">
        <v>898</v>
      </c>
      <c r="D578" s="10" t="s">
        <v>935</v>
      </c>
      <c r="E578" s="10" t="s">
        <v>936</v>
      </c>
      <c r="F578" s="10">
        <v>36.363317000000002</v>
      </c>
      <c r="G578" s="10">
        <v>43.358153999999999</v>
      </c>
      <c r="H578" s="11">
        <v>1061</v>
      </c>
      <c r="I578" s="11">
        <v>6366</v>
      </c>
      <c r="J578" s="11"/>
      <c r="K578" s="11">
        <v>59</v>
      </c>
      <c r="L578" s="11">
        <v>81</v>
      </c>
      <c r="M578" s="11">
        <v>42</v>
      </c>
      <c r="N578" s="11">
        <v>61</v>
      </c>
      <c r="O578" s="11">
        <v>1</v>
      </c>
      <c r="P578" s="11">
        <v>167</v>
      </c>
      <c r="Q578" s="11">
        <v>101</v>
      </c>
      <c r="R578" s="11">
        <v>5</v>
      </c>
      <c r="S578" s="11">
        <v>7</v>
      </c>
      <c r="T578" s="11">
        <v>76</v>
      </c>
      <c r="U578" s="11">
        <v>82</v>
      </c>
      <c r="V578" s="11">
        <v>130</v>
      </c>
      <c r="W578" s="11">
        <v>72</v>
      </c>
      <c r="X578" s="11"/>
      <c r="Y578" s="11">
        <v>48</v>
      </c>
      <c r="Z578" s="11">
        <v>74</v>
      </c>
      <c r="AA578" s="11">
        <v>55</v>
      </c>
      <c r="AB578" s="11"/>
      <c r="AC578" s="11">
        <v>1061</v>
      </c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>
        <v>1061</v>
      </c>
      <c r="AP578" s="11"/>
      <c r="AQ578" s="11"/>
      <c r="AR578" s="11"/>
      <c r="AS578" s="11"/>
      <c r="AT578" s="11"/>
      <c r="AU578" s="20" t="str">
        <f>HYPERLINK("http://www.openstreetmap.org/?mlat=36.3633&amp;mlon=43.3582&amp;zoom=12#map=12/36.3633/43.3582","Maplink1")</f>
        <v>Maplink1</v>
      </c>
      <c r="AV578" s="20" t="str">
        <f>HYPERLINK("https://www.google.iq/maps/search/+36.3633,43.3582/@36.3633,43.3582,14z?hl=en","Maplink2")</f>
        <v>Maplink2</v>
      </c>
      <c r="AW578" s="20" t="str">
        <f>HYPERLINK("http://www.bing.com/maps/?lvl=14&amp;sty=h&amp;cp=36.3633~43.3582&amp;sp=point.36.3633_43.3582","Maplink3")</f>
        <v>Maplink3</v>
      </c>
    </row>
    <row r="579" spans="1:49" s="19" customFormat="1" x14ac:dyDescent="0.25">
      <c r="A579" s="9">
        <v>22805</v>
      </c>
      <c r="B579" s="10" t="s">
        <v>20</v>
      </c>
      <c r="C579" s="10" t="s">
        <v>898</v>
      </c>
      <c r="D579" s="10" t="s">
        <v>937</v>
      </c>
      <c r="E579" s="10" t="s">
        <v>938</v>
      </c>
      <c r="F579" s="10">
        <v>36.323174999999999</v>
      </c>
      <c r="G579" s="10">
        <v>43.241056999999998</v>
      </c>
      <c r="H579" s="11">
        <v>96</v>
      </c>
      <c r="I579" s="11">
        <v>576</v>
      </c>
      <c r="J579" s="11"/>
      <c r="K579" s="11"/>
      <c r="L579" s="11"/>
      <c r="M579" s="11"/>
      <c r="N579" s="11"/>
      <c r="O579" s="11"/>
      <c r="P579" s="11">
        <v>6</v>
      </c>
      <c r="Q579" s="11"/>
      <c r="R579" s="11"/>
      <c r="S579" s="11"/>
      <c r="T579" s="11"/>
      <c r="U579" s="11"/>
      <c r="V579" s="11">
        <v>90</v>
      </c>
      <c r="W579" s="11"/>
      <c r="X579" s="11"/>
      <c r="Y579" s="11"/>
      <c r="Z579" s="11"/>
      <c r="AA579" s="11"/>
      <c r="AB579" s="11"/>
      <c r="AC579" s="11">
        <v>96</v>
      </c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>
        <v>6</v>
      </c>
      <c r="AP579" s="11"/>
      <c r="AQ579" s="11"/>
      <c r="AR579" s="11"/>
      <c r="AS579" s="11">
        <v>90</v>
      </c>
      <c r="AT579" s="11"/>
      <c r="AU579" s="20" t="str">
        <f>HYPERLINK("http://www.openstreetmap.org/?mlat=36.3232&amp;mlon=43.2411&amp;zoom=12#map=12/36.3232/43.2411","Maplink1")</f>
        <v>Maplink1</v>
      </c>
      <c r="AV579" s="20" t="str">
        <f>HYPERLINK("https://www.google.iq/maps/search/+36.3232,43.2411/@36.3232,43.2411,14z?hl=en","Maplink2")</f>
        <v>Maplink2</v>
      </c>
      <c r="AW579" s="20" t="str">
        <f>HYPERLINK("http://www.bing.com/maps/?lvl=14&amp;sty=h&amp;cp=36.3232~43.2411&amp;sp=point.36.3232_43.2411","Maplink3")</f>
        <v>Maplink3</v>
      </c>
    </row>
    <row r="580" spans="1:49" s="19" customFormat="1" x14ac:dyDescent="0.25">
      <c r="A580" s="9">
        <v>29684</v>
      </c>
      <c r="B580" s="10" t="s">
        <v>20</v>
      </c>
      <c r="C580" s="10" t="s">
        <v>898</v>
      </c>
      <c r="D580" s="10" t="s">
        <v>939</v>
      </c>
      <c r="E580" s="10" t="s">
        <v>940</v>
      </c>
      <c r="F580" s="10">
        <v>36.013193999999999</v>
      </c>
      <c r="G580" s="10">
        <v>43.377346000000003</v>
      </c>
      <c r="H580" s="11">
        <v>216</v>
      </c>
      <c r="I580" s="11">
        <v>1296</v>
      </c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>
        <v>216</v>
      </c>
      <c r="W580" s="11"/>
      <c r="X580" s="11"/>
      <c r="Y580" s="11"/>
      <c r="Z580" s="11"/>
      <c r="AA580" s="11"/>
      <c r="AB580" s="11"/>
      <c r="AC580" s="11">
        <v>216</v>
      </c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>
        <v>216</v>
      </c>
      <c r="AT580" s="11"/>
      <c r="AU580" s="20" t="str">
        <f>HYPERLINK("http://www.openstreetmap.org/?mlat=36.0132&amp;mlon=43.3773&amp;zoom=12#map=12/36.0132/43.3773","Maplink1")</f>
        <v>Maplink1</v>
      </c>
      <c r="AV580" s="20" t="str">
        <f>HYPERLINK("https://www.google.iq/maps/search/+36.0132,43.3773/@36.0132,43.3773,14z?hl=en","Maplink2")</f>
        <v>Maplink2</v>
      </c>
      <c r="AW580" s="20" t="str">
        <f>HYPERLINK("http://www.bing.com/maps/?lvl=14&amp;sty=h&amp;cp=36.0132~43.3773&amp;sp=point.36.0132_43.3773","Maplink3")</f>
        <v>Maplink3</v>
      </c>
    </row>
    <row r="581" spans="1:49" s="19" customFormat="1" x14ac:dyDescent="0.25">
      <c r="A581" s="9">
        <v>29612</v>
      </c>
      <c r="B581" s="10" t="s">
        <v>20</v>
      </c>
      <c r="C581" s="10" t="s">
        <v>898</v>
      </c>
      <c r="D581" s="10" t="s">
        <v>941</v>
      </c>
      <c r="E581" s="10" t="s">
        <v>942</v>
      </c>
      <c r="F581" s="10">
        <v>36.192743999999998</v>
      </c>
      <c r="G581" s="10">
        <v>43.559347000000002</v>
      </c>
      <c r="H581" s="11">
        <v>141</v>
      </c>
      <c r="I581" s="11">
        <v>846</v>
      </c>
      <c r="J581" s="11"/>
      <c r="K581" s="11"/>
      <c r="L581" s="11"/>
      <c r="M581" s="11"/>
      <c r="N581" s="11">
        <v>30</v>
      </c>
      <c r="O581" s="11"/>
      <c r="P581" s="11">
        <v>103</v>
      </c>
      <c r="Q581" s="11"/>
      <c r="R581" s="11">
        <v>7</v>
      </c>
      <c r="S581" s="11"/>
      <c r="T581" s="11"/>
      <c r="U581" s="11"/>
      <c r="V581" s="11">
        <v>1</v>
      </c>
      <c r="W581" s="11"/>
      <c r="X581" s="11"/>
      <c r="Y581" s="11"/>
      <c r="Z581" s="11"/>
      <c r="AA581" s="11"/>
      <c r="AB581" s="11"/>
      <c r="AC581" s="11">
        <v>141</v>
      </c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>
        <v>141</v>
      </c>
      <c r="AP581" s="11"/>
      <c r="AQ581" s="11"/>
      <c r="AR581" s="11"/>
      <c r="AS581" s="11"/>
      <c r="AT581" s="11"/>
      <c r="AU581" s="20" t="str">
        <f>HYPERLINK("http://www.openstreetmap.org/?mlat=36.1927&amp;mlon=43.5593&amp;zoom=12#map=12/36.1927/43.5593","Maplink1")</f>
        <v>Maplink1</v>
      </c>
      <c r="AV581" s="20" t="str">
        <f>HYPERLINK("https://www.google.iq/maps/search/+36.1927,43.5593/@36.1927,43.5593,14z?hl=en","Maplink2")</f>
        <v>Maplink2</v>
      </c>
      <c r="AW581" s="20" t="str">
        <f>HYPERLINK("http://www.bing.com/maps/?lvl=14&amp;sty=h&amp;cp=36.1927~43.5593&amp;sp=point.36.1927_43.5593","Maplink3")</f>
        <v>Maplink3</v>
      </c>
    </row>
    <row r="582" spans="1:49" s="19" customFormat="1" x14ac:dyDescent="0.25">
      <c r="A582" s="9">
        <v>17373</v>
      </c>
      <c r="B582" s="10" t="s">
        <v>20</v>
      </c>
      <c r="C582" s="10" t="s">
        <v>898</v>
      </c>
      <c r="D582" s="10" t="s">
        <v>943</v>
      </c>
      <c r="E582" s="10" t="s">
        <v>944</v>
      </c>
      <c r="F582" s="10">
        <v>36.314425999999997</v>
      </c>
      <c r="G582" s="10">
        <v>43.330171999999997</v>
      </c>
      <c r="H582" s="11">
        <v>660</v>
      </c>
      <c r="I582" s="11">
        <v>3960</v>
      </c>
      <c r="J582" s="11"/>
      <c r="K582" s="11">
        <v>27</v>
      </c>
      <c r="L582" s="11">
        <v>28</v>
      </c>
      <c r="M582" s="11">
        <v>2</v>
      </c>
      <c r="N582" s="11">
        <v>55</v>
      </c>
      <c r="O582" s="11"/>
      <c r="P582" s="11">
        <v>259</v>
      </c>
      <c r="Q582" s="11">
        <v>30</v>
      </c>
      <c r="R582" s="11"/>
      <c r="S582" s="11">
        <v>19</v>
      </c>
      <c r="T582" s="11">
        <v>13</v>
      </c>
      <c r="U582" s="11">
        <v>48</v>
      </c>
      <c r="V582" s="11"/>
      <c r="W582" s="11">
        <v>32</v>
      </c>
      <c r="X582" s="11"/>
      <c r="Y582" s="11">
        <v>7</v>
      </c>
      <c r="Z582" s="11">
        <v>31</v>
      </c>
      <c r="AA582" s="11">
        <v>109</v>
      </c>
      <c r="AB582" s="11"/>
      <c r="AC582" s="11">
        <v>660</v>
      </c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>
        <v>660</v>
      </c>
      <c r="AP582" s="11"/>
      <c r="AQ582" s="11"/>
      <c r="AR582" s="11"/>
      <c r="AS582" s="11"/>
      <c r="AT582" s="11"/>
      <c r="AU582" s="20" t="str">
        <f>HYPERLINK("http://www.openstreetmap.org/?mlat=36.3144&amp;mlon=43.3302&amp;zoom=12#map=12/36.3144/43.3302","Maplink1")</f>
        <v>Maplink1</v>
      </c>
      <c r="AV582" s="20" t="str">
        <f>HYPERLINK("https://www.google.iq/maps/search/+36.3144,43.3302/@36.3144,43.3302,14z?hl=en","Maplink2")</f>
        <v>Maplink2</v>
      </c>
      <c r="AW582" s="20" t="str">
        <f>HYPERLINK("http://www.bing.com/maps/?lvl=14&amp;sty=h&amp;cp=36.3144~43.3302&amp;sp=point.36.3144_43.3302","Maplink3")</f>
        <v>Maplink3</v>
      </c>
    </row>
    <row r="583" spans="1:49" s="19" customFormat="1" x14ac:dyDescent="0.25">
      <c r="A583" s="9">
        <v>22214</v>
      </c>
      <c r="B583" s="10" t="s">
        <v>20</v>
      </c>
      <c r="C583" s="10" t="s">
        <v>898</v>
      </c>
      <c r="D583" s="10" t="s">
        <v>945</v>
      </c>
      <c r="E583" s="10" t="s">
        <v>946</v>
      </c>
      <c r="F583" s="10">
        <v>36.357627000000001</v>
      </c>
      <c r="G583" s="10">
        <v>43.333567000000002</v>
      </c>
      <c r="H583" s="11">
        <v>522</v>
      </c>
      <c r="I583" s="11">
        <v>3132</v>
      </c>
      <c r="J583" s="11"/>
      <c r="K583" s="11">
        <v>3</v>
      </c>
      <c r="L583" s="11">
        <v>105</v>
      </c>
      <c r="M583" s="11"/>
      <c r="N583" s="11">
        <v>2</v>
      </c>
      <c r="O583" s="11"/>
      <c r="P583" s="11">
        <v>241</v>
      </c>
      <c r="Q583" s="11">
        <v>36</v>
      </c>
      <c r="R583" s="11"/>
      <c r="S583" s="11">
        <v>15</v>
      </c>
      <c r="T583" s="11"/>
      <c r="U583" s="11">
        <v>28</v>
      </c>
      <c r="V583" s="11">
        <v>22</v>
      </c>
      <c r="W583" s="11"/>
      <c r="X583" s="11"/>
      <c r="Y583" s="11">
        <v>13</v>
      </c>
      <c r="Z583" s="11">
        <v>2</v>
      </c>
      <c r="AA583" s="11">
        <v>55</v>
      </c>
      <c r="AB583" s="11"/>
      <c r="AC583" s="11">
        <v>522</v>
      </c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>
        <v>522</v>
      </c>
      <c r="AP583" s="11"/>
      <c r="AQ583" s="11"/>
      <c r="AR583" s="11"/>
      <c r="AS583" s="11"/>
      <c r="AT583" s="11"/>
      <c r="AU583" s="20" t="str">
        <f>HYPERLINK("http://www.openstreetmap.org/?mlat=36.3576&amp;mlon=43.3336&amp;zoom=12#map=12/36.3576/43.3336","Maplink1")</f>
        <v>Maplink1</v>
      </c>
      <c r="AV583" s="20" t="str">
        <f>HYPERLINK("https://www.google.iq/maps/search/+36.3576,43.3336/@36.3576,43.3336,14z?hl=en","Maplink2")</f>
        <v>Maplink2</v>
      </c>
      <c r="AW583" s="20" t="str">
        <f>HYPERLINK("http://www.bing.com/maps/?lvl=14&amp;sty=h&amp;cp=36.3576~43.3336&amp;sp=point.36.3576_43.3336","Maplink3")</f>
        <v>Maplink3</v>
      </c>
    </row>
    <row r="584" spans="1:49" s="19" customFormat="1" x14ac:dyDescent="0.25">
      <c r="A584" s="9">
        <v>22212</v>
      </c>
      <c r="B584" s="10" t="s">
        <v>20</v>
      </c>
      <c r="C584" s="10" t="s">
        <v>898</v>
      </c>
      <c r="D584" s="10" t="s">
        <v>947</v>
      </c>
      <c r="E584" s="10" t="s">
        <v>948</v>
      </c>
      <c r="F584" s="10">
        <v>36.295375</v>
      </c>
      <c r="G584" s="10">
        <v>43.504699000000002</v>
      </c>
      <c r="H584" s="11">
        <v>16</v>
      </c>
      <c r="I584" s="11">
        <v>96</v>
      </c>
      <c r="J584" s="11"/>
      <c r="K584" s="11"/>
      <c r="L584" s="11"/>
      <c r="M584" s="11"/>
      <c r="N584" s="11"/>
      <c r="O584" s="11"/>
      <c r="P584" s="11">
        <v>10</v>
      </c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>
        <v>6</v>
      </c>
      <c r="AB584" s="11"/>
      <c r="AC584" s="11">
        <v>16</v>
      </c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>
        <v>16</v>
      </c>
      <c r="AP584" s="11"/>
      <c r="AQ584" s="11"/>
      <c r="AR584" s="11"/>
      <c r="AS584" s="11"/>
      <c r="AT584" s="11"/>
      <c r="AU584" s="20" t="str">
        <f>HYPERLINK("http://www.openstreetmap.org/?mlat=36.2954&amp;mlon=43.5047&amp;zoom=12#map=12/36.2954/43.5047","Maplink1")</f>
        <v>Maplink1</v>
      </c>
      <c r="AV584" s="20" t="str">
        <f>HYPERLINK("https://www.google.iq/maps/search/+36.2954,43.5047/@36.2954,43.5047,14z?hl=en","Maplink2")</f>
        <v>Maplink2</v>
      </c>
      <c r="AW584" s="20" t="str">
        <f>HYPERLINK("http://www.bing.com/maps/?lvl=14&amp;sty=h&amp;cp=36.2954~43.5047&amp;sp=point.36.2954_43.5047","Maplink3")</f>
        <v>Maplink3</v>
      </c>
    </row>
    <row r="585" spans="1:49" s="19" customFormat="1" x14ac:dyDescent="0.25">
      <c r="A585" s="9">
        <v>17968</v>
      </c>
      <c r="B585" s="10" t="s">
        <v>20</v>
      </c>
      <c r="C585" s="10" t="s">
        <v>898</v>
      </c>
      <c r="D585" s="10" t="s">
        <v>949</v>
      </c>
      <c r="E585" s="10" t="s">
        <v>950</v>
      </c>
      <c r="F585" s="10">
        <v>36.193098999999997</v>
      </c>
      <c r="G585" s="10">
        <v>43.341918999999997</v>
      </c>
      <c r="H585" s="11">
        <v>262</v>
      </c>
      <c r="I585" s="11">
        <v>1572</v>
      </c>
      <c r="J585" s="11"/>
      <c r="K585" s="11"/>
      <c r="L585" s="11">
        <v>10</v>
      </c>
      <c r="M585" s="11"/>
      <c r="N585" s="11"/>
      <c r="O585" s="11"/>
      <c r="P585" s="11">
        <v>67</v>
      </c>
      <c r="Q585" s="11"/>
      <c r="R585" s="11"/>
      <c r="S585" s="11">
        <v>10</v>
      </c>
      <c r="T585" s="11">
        <v>1</v>
      </c>
      <c r="U585" s="11">
        <v>2</v>
      </c>
      <c r="V585" s="11">
        <v>145</v>
      </c>
      <c r="W585" s="11">
        <v>6</v>
      </c>
      <c r="X585" s="11"/>
      <c r="Y585" s="11">
        <v>4</v>
      </c>
      <c r="Z585" s="11">
        <v>1</v>
      </c>
      <c r="AA585" s="11">
        <v>16</v>
      </c>
      <c r="AB585" s="11"/>
      <c r="AC585" s="11">
        <v>262</v>
      </c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>
        <v>152</v>
      </c>
      <c r="AP585" s="11"/>
      <c r="AQ585" s="11"/>
      <c r="AR585" s="11"/>
      <c r="AS585" s="11">
        <v>110</v>
      </c>
      <c r="AT585" s="11"/>
      <c r="AU585" s="20" t="str">
        <f>HYPERLINK("http://www.openstreetmap.org/?mlat=36.1931&amp;mlon=43.3419&amp;zoom=12#map=12/36.1931/43.3419","Maplink1")</f>
        <v>Maplink1</v>
      </c>
      <c r="AV585" s="20" t="str">
        <f>HYPERLINK("https://www.google.iq/maps/search/+36.1931,43.3419/@36.1931,43.3419,14z?hl=en","Maplink2")</f>
        <v>Maplink2</v>
      </c>
      <c r="AW585" s="20" t="str">
        <f>HYPERLINK("http://www.bing.com/maps/?lvl=14&amp;sty=h&amp;cp=36.1931~43.3419&amp;sp=point.36.1931_43.3419","Maplink3")</f>
        <v>Maplink3</v>
      </c>
    </row>
    <row r="586" spans="1:49" s="19" customFormat="1" x14ac:dyDescent="0.25">
      <c r="A586" s="9">
        <v>33113</v>
      </c>
      <c r="B586" s="10" t="s">
        <v>20</v>
      </c>
      <c r="C586" s="10" t="s">
        <v>898</v>
      </c>
      <c r="D586" s="10" t="s">
        <v>1609</v>
      </c>
      <c r="E586" s="10" t="s">
        <v>1610</v>
      </c>
      <c r="F586" s="10">
        <v>36.195034</v>
      </c>
      <c r="G586" s="10">
        <v>43.399546999999998</v>
      </c>
      <c r="H586" s="11">
        <v>227</v>
      </c>
      <c r="I586" s="11">
        <v>1362</v>
      </c>
      <c r="J586" s="11"/>
      <c r="K586" s="11"/>
      <c r="L586" s="11">
        <v>13</v>
      </c>
      <c r="M586" s="11"/>
      <c r="N586" s="11"/>
      <c r="O586" s="11"/>
      <c r="P586" s="11">
        <v>92</v>
      </c>
      <c r="Q586" s="11">
        <v>7</v>
      </c>
      <c r="R586" s="11"/>
      <c r="S586" s="11"/>
      <c r="T586" s="11">
        <v>25</v>
      </c>
      <c r="U586" s="11">
        <v>12</v>
      </c>
      <c r="V586" s="11">
        <v>20</v>
      </c>
      <c r="W586" s="11">
        <v>30</v>
      </c>
      <c r="X586" s="11"/>
      <c r="Y586" s="11"/>
      <c r="Z586" s="11">
        <v>3</v>
      </c>
      <c r="AA586" s="11">
        <v>25</v>
      </c>
      <c r="AB586" s="11"/>
      <c r="AC586" s="11">
        <v>227</v>
      </c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>
        <v>222</v>
      </c>
      <c r="AP586" s="11"/>
      <c r="AQ586" s="11"/>
      <c r="AR586" s="11"/>
      <c r="AS586" s="11">
        <v>5</v>
      </c>
      <c r="AT586" s="11"/>
      <c r="AU586" s="20" t="str">
        <f>HYPERLINK("http://www.openstreetmap.org/?mlat=36.195&amp;mlon=43.3995&amp;zoom=12#map=12/36.195/43.3995","Maplink1")</f>
        <v>Maplink1</v>
      </c>
      <c r="AV586" s="20" t="str">
        <f>HYPERLINK("https://www.google.iq/maps/search/+36.195,43.3995/@36.195,43.3995,14z?hl=en","Maplink2")</f>
        <v>Maplink2</v>
      </c>
      <c r="AW586" s="20" t="str">
        <f>HYPERLINK("http://www.bing.com/maps/?lvl=14&amp;sty=h&amp;cp=36.195~43.3995&amp;sp=point.36.195_43.3995","Maplink3")</f>
        <v>Maplink3</v>
      </c>
    </row>
    <row r="587" spans="1:49" s="19" customFormat="1" x14ac:dyDescent="0.25">
      <c r="A587" s="9">
        <v>18371</v>
      </c>
      <c r="B587" s="10" t="s">
        <v>20</v>
      </c>
      <c r="C587" s="10" t="s">
        <v>898</v>
      </c>
      <c r="D587" s="10" t="s">
        <v>951</v>
      </c>
      <c r="E587" s="10" t="s">
        <v>952</v>
      </c>
      <c r="F587" s="10">
        <v>36.273200000000003</v>
      </c>
      <c r="G587" s="10">
        <v>43.376899999999999</v>
      </c>
      <c r="H587" s="11">
        <v>2100</v>
      </c>
      <c r="I587" s="11">
        <v>12600</v>
      </c>
      <c r="J587" s="11"/>
      <c r="K587" s="11">
        <v>17</v>
      </c>
      <c r="L587" s="11">
        <v>21</v>
      </c>
      <c r="M587" s="11">
        <v>4</v>
      </c>
      <c r="N587" s="11">
        <v>49</v>
      </c>
      <c r="O587" s="11"/>
      <c r="P587" s="11">
        <v>1896</v>
      </c>
      <c r="Q587" s="11">
        <v>2</v>
      </c>
      <c r="R587" s="11">
        <v>1</v>
      </c>
      <c r="S587" s="11">
        <v>2</v>
      </c>
      <c r="T587" s="11">
        <v>2</v>
      </c>
      <c r="U587" s="11">
        <v>27</v>
      </c>
      <c r="V587" s="11">
        <v>35</v>
      </c>
      <c r="W587" s="11">
        <v>3</v>
      </c>
      <c r="X587" s="11"/>
      <c r="Y587" s="11">
        <v>24</v>
      </c>
      <c r="Z587" s="11"/>
      <c r="AA587" s="11">
        <v>17</v>
      </c>
      <c r="AB587" s="11"/>
      <c r="AC587" s="11">
        <v>2100</v>
      </c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>
        <v>2100</v>
      </c>
      <c r="AP587" s="11"/>
      <c r="AQ587" s="11"/>
      <c r="AR587" s="11"/>
      <c r="AS587" s="11"/>
      <c r="AT587" s="11"/>
      <c r="AU587" s="20" t="str">
        <f>HYPERLINK("http://www.openstreetmap.org/?mlat=36.2732&amp;mlon=43.3769&amp;zoom=12#map=12/36.2732/43.3769","Maplink1")</f>
        <v>Maplink1</v>
      </c>
      <c r="AV587" s="20" t="str">
        <f>HYPERLINK("https://www.google.iq/maps/search/+36.2732,43.3769/@36.2732,43.3769,14z?hl=en","Maplink2")</f>
        <v>Maplink2</v>
      </c>
      <c r="AW587" s="20" t="str">
        <f>HYPERLINK("http://www.bing.com/maps/?lvl=14&amp;sty=h&amp;cp=36.2732~43.3769&amp;sp=point.36.2732_43.3769","Maplink3")</f>
        <v>Maplink3</v>
      </c>
    </row>
    <row r="588" spans="1:49" s="19" customFormat="1" x14ac:dyDescent="0.25">
      <c r="A588" s="9">
        <v>22317</v>
      </c>
      <c r="B588" s="10" t="s">
        <v>20</v>
      </c>
      <c r="C588" s="10" t="s">
        <v>898</v>
      </c>
      <c r="D588" s="10" t="s">
        <v>953</v>
      </c>
      <c r="E588" s="10" t="s">
        <v>954</v>
      </c>
      <c r="F588" s="10">
        <v>36.250492999999999</v>
      </c>
      <c r="G588" s="10">
        <v>43.292667999999999</v>
      </c>
      <c r="H588" s="11">
        <v>113</v>
      </c>
      <c r="I588" s="11">
        <v>678</v>
      </c>
      <c r="J588" s="11"/>
      <c r="K588" s="11"/>
      <c r="L588" s="11">
        <v>53</v>
      </c>
      <c r="M588" s="11"/>
      <c r="N588" s="11"/>
      <c r="O588" s="11"/>
      <c r="P588" s="11">
        <v>19</v>
      </c>
      <c r="Q588" s="11">
        <v>3</v>
      </c>
      <c r="R588" s="11"/>
      <c r="S588" s="11"/>
      <c r="T588" s="11"/>
      <c r="U588" s="11">
        <v>6</v>
      </c>
      <c r="V588" s="11"/>
      <c r="W588" s="11">
        <v>10</v>
      </c>
      <c r="X588" s="11"/>
      <c r="Y588" s="11"/>
      <c r="Z588" s="11"/>
      <c r="AA588" s="11">
        <v>22</v>
      </c>
      <c r="AB588" s="11"/>
      <c r="AC588" s="11">
        <v>113</v>
      </c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>
        <v>113</v>
      </c>
      <c r="AP588" s="11"/>
      <c r="AQ588" s="11"/>
      <c r="AR588" s="11"/>
      <c r="AS588" s="11"/>
      <c r="AT588" s="11"/>
      <c r="AU588" s="20" t="str">
        <f>HYPERLINK("http://www.openstreetmap.org/?mlat=36.2505&amp;mlon=43.2927&amp;zoom=12#map=12/36.2505/43.2927","Maplink1")</f>
        <v>Maplink1</v>
      </c>
      <c r="AV588" s="20" t="str">
        <f>HYPERLINK("https://www.google.iq/maps/search/+36.2505,43.2927/@36.2505,43.2927,14z?hl=en","Maplink2")</f>
        <v>Maplink2</v>
      </c>
      <c r="AW588" s="20" t="str">
        <f>HYPERLINK("http://www.bing.com/maps/?lvl=14&amp;sty=h&amp;cp=36.2505~43.2927&amp;sp=point.36.2505_43.2927","Maplink3")</f>
        <v>Maplink3</v>
      </c>
    </row>
    <row r="589" spans="1:49" s="19" customFormat="1" x14ac:dyDescent="0.25">
      <c r="A589" s="9">
        <v>22125</v>
      </c>
      <c r="B589" s="10" t="s">
        <v>20</v>
      </c>
      <c r="C589" s="10" t="s">
        <v>898</v>
      </c>
      <c r="D589" s="10" t="s">
        <v>955</v>
      </c>
      <c r="E589" s="10" t="s">
        <v>956</v>
      </c>
      <c r="F589" s="10">
        <v>36.190206000000003</v>
      </c>
      <c r="G589" s="10">
        <v>43.472752</v>
      </c>
      <c r="H589" s="11">
        <v>196</v>
      </c>
      <c r="I589" s="11">
        <v>1176</v>
      </c>
      <c r="J589" s="11"/>
      <c r="K589" s="11">
        <v>34</v>
      </c>
      <c r="L589" s="11">
        <v>13</v>
      </c>
      <c r="M589" s="11"/>
      <c r="N589" s="11"/>
      <c r="O589" s="11"/>
      <c r="P589" s="11">
        <v>119</v>
      </c>
      <c r="Q589" s="11"/>
      <c r="R589" s="11"/>
      <c r="S589" s="11"/>
      <c r="T589" s="11"/>
      <c r="U589" s="11">
        <v>5</v>
      </c>
      <c r="V589" s="11">
        <v>3</v>
      </c>
      <c r="W589" s="11"/>
      <c r="X589" s="11"/>
      <c r="Y589" s="11"/>
      <c r="Z589" s="11"/>
      <c r="AA589" s="11">
        <v>22</v>
      </c>
      <c r="AB589" s="11"/>
      <c r="AC589" s="11">
        <v>196</v>
      </c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>
        <v>196</v>
      </c>
      <c r="AP589" s="11"/>
      <c r="AQ589" s="11"/>
      <c r="AR589" s="11"/>
      <c r="AS589" s="11"/>
      <c r="AT589" s="11"/>
      <c r="AU589" s="20" t="str">
        <f>HYPERLINK("http://www.openstreetmap.org/?mlat=36.1902&amp;mlon=43.4728&amp;zoom=12#map=12/36.1902/43.4728","Maplink1")</f>
        <v>Maplink1</v>
      </c>
      <c r="AV589" s="20" t="str">
        <f>HYPERLINK("https://www.google.iq/maps/search/+36.1902,43.4728/@36.1902,43.4728,14z?hl=en","Maplink2")</f>
        <v>Maplink2</v>
      </c>
      <c r="AW589" s="20" t="str">
        <f>HYPERLINK("http://www.bing.com/maps/?lvl=14&amp;sty=h&amp;cp=36.1902~43.4728&amp;sp=point.36.1902_43.4728","Maplink3")</f>
        <v>Maplink3</v>
      </c>
    </row>
    <row r="590" spans="1:49" s="19" customFormat="1" x14ac:dyDescent="0.25">
      <c r="A590" s="9">
        <v>17892</v>
      </c>
      <c r="B590" s="10" t="s">
        <v>20</v>
      </c>
      <c r="C590" s="10" t="s">
        <v>898</v>
      </c>
      <c r="D590" s="10" t="s">
        <v>957</v>
      </c>
      <c r="E590" s="10" t="s">
        <v>958</v>
      </c>
      <c r="F590" s="10">
        <v>36.169772999999999</v>
      </c>
      <c r="G590" s="10">
        <v>43.482877000000002</v>
      </c>
      <c r="H590" s="11">
        <v>310</v>
      </c>
      <c r="I590" s="11">
        <v>1860</v>
      </c>
      <c r="J590" s="11"/>
      <c r="K590" s="11">
        <v>14</v>
      </c>
      <c r="L590" s="11">
        <v>52</v>
      </c>
      <c r="M590" s="11"/>
      <c r="N590" s="11"/>
      <c r="O590" s="11"/>
      <c r="P590" s="11">
        <v>18</v>
      </c>
      <c r="Q590" s="11">
        <v>40</v>
      </c>
      <c r="R590" s="11"/>
      <c r="S590" s="11">
        <v>22</v>
      </c>
      <c r="T590" s="11">
        <v>30</v>
      </c>
      <c r="U590" s="11">
        <v>27</v>
      </c>
      <c r="V590" s="11">
        <v>2</v>
      </c>
      <c r="W590" s="11">
        <v>45</v>
      </c>
      <c r="X590" s="11"/>
      <c r="Y590" s="11"/>
      <c r="Z590" s="11"/>
      <c r="AA590" s="11">
        <v>60</v>
      </c>
      <c r="AB590" s="11"/>
      <c r="AC590" s="11">
        <v>310</v>
      </c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>
        <v>310</v>
      </c>
      <c r="AP590" s="11"/>
      <c r="AQ590" s="11"/>
      <c r="AR590" s="11"/>
      <c r="AS590" s="11"/>
      <c r="AT590" s="11"/>
      <c r="AU590" s="20" t="str">
        <f>HYPERLINK("http://www.openstreetmap.org/?mlat=36.1698&amp;mlon=43.4829&amp;zoom=12#map=12/36.1698/43.4829","Maplink1")</f>
        <v>Maplink1</v>
      </c>
      <c r="AV590" s="20" t="str">
        <f>HYPERLINK("https://www.google.iq/maps/search/+36.1698,43.4829/@36.1698,43.4829,14z?hl=en","Maplink2")</f>
        <v>Maplink2</v>
      </c>
      <c r="AW590" s="20" t="str">
        <f>HYPERLINK("http://www.bing.com/maps/?lvl=14&amp;sty=h&amp;cp=36.1698~43.4829&amp;sp=point.36.1698_43.4829","Maplink3")</f>
        <v>Maplink3</v>
      </c>
    </row>
    <row r="591" spans="1:49" s="19" customFormat="1" x14ac:dyDescent="0.25">
      <c r="A591" s="9">
        <v>23410</v>
      </c>
      <c r="B591" s="10" t="s">
        <v>20</v>
      </c>
      <c r="C591" s="10" t="s">
        <v>898</v>
      </c>
      <c r="D591" s="10" t="s">
        <v>959</v>
      </c>
      <c r="E591" s="10" t="s">
        <v>960</v>
      </c>
      <c r="F591" s="10">
        <v>36.051335999999999</v>
      </c>
      <c r="G591" s="10">
        <v>43.331094</v>
      </c>
      <c r="H591" s="11">
        <v>200</v>
      </c>
      <c r="I591" s="11">
        <v>1200</v>
      </c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>
        <v>200</v>
      </c>
      <c r="W591" s="11"/>
      <c r="X591" s="11"/>
      <c r="Y591" s="11"/>
      <c r="Z591" s="11"/>
      <c r="AA591" s="11"/>
      <c r="AB591" s="11"/>
      <c r="AC591" s="11">
        <v>200</v>
      </c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>
        <v>200</v>
      </c>
      <c r="AT591" s="11"/>
      <c r="AU591" s="20" t="str">
        <f>HYPERLINK("http://www.openstreetmap.org/?mlat=36.0513&amp;mlon=43.3311&amp;zoom=12#map=12/36.0513/43.3311","Maplink1")</f>
        <v>Maplink1</v>
      </c>
      <c r="AV591" s="20" t="str">
        <f>HYPERLINK("https://www.google.iq/maps/search/+36.0513,43.3311/@36.0513,43.3311,14z?hl=en","Maplink2")</f>
        <v>Maplink2</v>
      </c>
      <c r="AW591" s="20" t="str">
        <f>HYPERLINK("http://www.bing.com/maps/?lvl=14&amp;sty=h&amp;cp=36.0513~43.3311&amp;sp=point.36.0513_43.3311","Maplink3")</f>
        <v>Maplink3</v>
      </c>
    </row>
    <row r="592" spans="1:49" s="19" customFormat="1" x14ac:dyDescent="0.25">
      <c r="A592" s="9">
        <v>17890</v>
      </c>
      <c r="B592" s="10" t="s">
        <v>20</v>
      </c>
      <c r="C592" s="10" t="s">
        <v>898</v>
      </c>
      <c r="D592" s="10" t="s">
        <v>961</v>
      </c>
      <c r="E592" s="10" t="s">
        <v>962</v>
      </c>
      <c r="F592" s="10">
        <v>36.257599999999996</v>
      </c>
      <c r="G592" s="10">
        <v>43.193399999999997</v>
      </c>
      <c r="H592" s="11">
        <v>109</v>
      </c>
      <c r="I592" s="11">
        <v>654</v>
      </c>
      <c r="J592" s="11"/>
      <c r="K592" s="11">
        <v>33</v>
      </c>
      <c r="L592" s="11">
        <v>24</v>
      </c>
      <c r="M592" s="11"/>
      <c r="N592" s="11"/>
      <c r="O592" s="11"/>
      <c r="P592" s="11">
        <v>2</v>
      </c>
      <c r="Q592" s="11">
        <v>2</v>
      </c>
      <c r="R592" s="11"/>
      <c r="S592" s="11">
        <v>1</v>
      </c>
      <c r="T592" s="11">
        <v>4</v>
      </c>
      <c r="U592" s="11">
        <v>18</v>
      </c>
      <c r="V592" s="11">
        <v>10</v>
      </c>
      <c r="W592" s="11"/>
      <c r="X592" s="11"/>
      <c r="Y592" s="11"/>
      <c r="Z592" s="11">
        <v>6</v>
      </c>
      <c r="AA592" s="11">
        <v>9</v>
      </c>
      <c r="AB592" s="11"/>
      <c r="AC592" s="11">
        <v>109</v>
      </c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>
        <v>109</v>
      </c>
      <c r="AP592" s="11"/>
      <c r="AQ592" s="11"/>
      <c r="AR592" s="11"/>
      <c r="AS592" s="11"/>
      <c r="AT592" s="11"/>
      <c r="AU592" s="20" t="str">
        <f>HYPERLINK("http://www.openstreetmap.org/?mlat=36.2576&amp;mlon=43.1934&amp;zoom=12#map=12/36.2576/43.1934","Maplink1")</f>
        <v>Maplink1</v>
      </c>
      <c r="AV592" s="20" t="str">
        <f>HYPERLINK("https://www.google.iq/maps/search/+36.2576,43.1934/@36.2576,43.1934,14z?hl=en","Maplink2")</f>
        <v>Maplink2</v>
      </c>
      <c r="AW592" s="20" t="str">
        <f>HYPERLINK("http://www.bing.com/maps/?lvl=14&amp;sty=h&amp;cp=36.2576~43.1934&amp;sp=point.36.2576_43.1934","Maplink3")</f>
        <v>Maplink3</v>
      </c>
    </row>
    <row r="593" spans="1:49" s="19" customFormat="1" x14ac:dyDescent="0.25">
      <c r="A593" s="9">
        <v>21939</v>
      </c>
      <c r="B593" s="10" t="s">
        <v>20</v>
      </c>
      <c r="C593" s="10" t="s">
        <v>898</v>
      </c>
      <c r="D593" s="10" t="s">
        <v>963</v>
      </c>
      <c r="E593" s="10" t="s">
        <v>964</v>
      </c>
      <c r="F593" s="10">
        <v>36.321536000000002</v>
      </c>
      <c r="G593" s="10">
        <v>43.448915</v>
      </c>
      <c r="H593" s="11">
        <v>461</v>
      </c>
      <c r="I593" s="11">
        <v>2766</v>
      </c>
      <c r="J593" s="11"/>
      <c r="K593" s="11"/>
      <c r="L593" s="11"/>
      <c r="M593" s="11"/>
      <c r="N593" s="11"/>
      <c r="O593" s="11"/>
      <c r="P593" s="11">
        <v>326</v>
      </c>
      <c r="Q593" s="11">
        <v>5</v>
      </c>
      <c r="R593" s="11"/>
      <c r="S593" s="11"/>
      <c r="T593" s="11"/>
      <c r="U593" s="11">
        <v>11</v>
      </c>
      <c r="V593" s="11">
        <v>77</v>
      </c>
      <c r="W593" s="11">
        <v>2</v>
      </c>
      <c r="X593" s="11"/>
      <c r="Y593" s="11"/>
      <c r="Z593" s="11"/>
      <c r="AA593" s="11">
        <v>40</v>
      </c>
      <c r="AB593" s="11"/>
      <c r="AC593" s="11">
        <v>461</v>
      </c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>
        <v>461</v>
      </c>
      <c r="AP593" s="11"/>
      <c r="AQ593" s="11"/>
      <c r="AR593" s="11"/>
      <c r="AS593" s="11"/>
      <c r="AT593" s="11"/>
      <c r="AU593" s="20" t="str">
        <f>HYPERLINK("http://www.openstreetmap.org/?mlat=36.3215&amp;mlon=43.4489&amp;zoom=12#map=12/36.3215/43.4489","Maplink1")</f>
        <v>Maplink1</v>
      </c>
      <c r="AV593" s="20" t="str">
        <f>HYPERLINK("https://www.google.iq/maps/search/+36.3215,43.4489/@36.3215,43.4489,14z?hl=en","Maplink2")</f>
        <v>Maplink2</v>
      </c>
      <c r="AW593" s="20" t="str">
        <f>HYPERLINK("http://www.bing.com/maps/?lvl=14&amp;sty=h&amp;cp=36.3215~43.4489&amp;sp=point.36.3215_43.4489","Maplink3")</f>
        <v>Maplink3</v>
      </c>
    </row>
    <row r="594" spans="1:49" s="19" customFormat="1" x14ac:dyDescent="0.25">
      <c r="A594" s="9">
        <v>22216</v>
      </c>
      <c r="B594" s="10" t="s">
        <v>20</v>
      </c>
      <c r="C594" s="10" t="s">
        <v>898</v>
      </c>
      <c r="D594" s="10" t="s">
        <v>965</v>
      </c>
      <c r="E594" s="10" t="s">
        <v>966</v>
      </c>
      <c r="F594" s="10">
        <v>36.318866999999997</v>
      </c>
      <c r="G594" s="10">
        <v>43.472698999999999</v>
      </c>
      <c r="H594" s="11">
        <v>95</v>
      </c>
      <c r="I594" s="11">
        <v>570</v>
      </c>
      <c r="J594" s="11"/>
      <c r="K594" s="11"/>
      <c r="L594" s="11"/>
      <c r="M594" s="11"/>
      <c r="N594" s="11"/>
      <c r="O594" s="11"/>
      <c r="P594" s="11">
        <v>87</v>
      </c>
      <c r="Q594" s="11"/>
      <c r="R594" s="11">
        <v>1</v>
      </c>
      <c r="S594" s="11"/>
      <c r="T594" s="11"/>
      <c r="U594" s="11"/>
      <c r="V594" s="11">
        <v>5</v>
      </c>
      <c r="W594" s="11"/>
      <c r="X594" s="11"/>
      <c r="Y594" s="11">
        <v>2</v>
      </c>
      <c r="Z594" s="11"/>
      <c r="AA594" s="11"/>
      <c r="AB594" s="11"/>
      <c r="AC594" s="11">
        <v>95</v>
      </c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>
        <v>95</v>
      </c>
      <c r="AP594" s="11"/>
      <c r="AQ594" s="11"/>
      <c r="AR594" s="11"/>
      <c r="AS594" s="11"/>
      <c r="AT594" s="11"/>
      <c r="AU594" s="20" t="str">
        <f>HYPERLINK("http://www.openstreetmap.org/?mlat=36.3189&amp;mlon=43.4727&amp;zoom=12#map=12/36.3189/43.4727","Maplink1")</f>
        <v>Maplink1</v>
      </c>
      <c r="AV594" s="20" t="str">
        <f>HYPERLINK("https://www.google.iq/maps/search/+36.3189,43.4727/@36.3189,43.4727,14z?hl=en","Maplink2")</f>
        <v>Maplink2</v>
      </c>
      <c r="AW594" s="20" t="str">
        <f>HYPERLINK("http://www.bing.com/maps/?lvl=14&amp;sty=h&amp;cp=36.3189~43.4727&amp;sp=point.36.3189_43.4727","Maplink3")</f>
        <v>Maplink3</v>
      </c>
    </row>
    <row r="595" spans="1:49" s="19" customFormat="1" x14ac:dyDescent="0.25">
      <c r="A595" s="9">
        <v>17930</v>
      </c>
      <c r="B595" s="10" t="s">
        <v>20</v>
      </c>
      <c r="C595" s="10" t="s">
        <v>898</v>
      </c>
      <c r="D595" s="10" t="s">
        <v>967</v>
      </c>
      <c r="E595" s="10" t="s">
        <v>968</v>
      </c>
      <c r="F595" s="10">
        <v>36.343992999999998</v>
      </c>
      <c r="G595" s="10">
        <v>43.325750999999997</v>
      </c>
      <c r="H595" s="11">
        <v>655</v>
      </c>
      <c r="I595" s="11">
        <v>3930</v>
      </c>
      <c r="J595" s="11"/>
      <c r="K595" s="11">
        <v>8</v>
      </c>
      <c r="L595" s="11">
        <v>11</v>
      </c>
      <c r="M595" s="11">
        <v>2</v>
      </c>
      <c r="N595" s="11">
        <v>8</v>
      </c>
      <c r="O595" s="11"/>
      <c r="P595" s="11">
        <v>457</v>
      </c>
      <c r="Q595" s="11">
        <v>11</v>
      </c>
      <c r="R595" s="11"/>
      <c r="S595" s="11">
        <v>20</v>
      </c>
      <c r="T595" s="11">
        <v>8</v>
      </c>
      <c r="U595" s="11">
        <v>61</v>
      </c>
      <c r="V595" s="11">
        <v>14</v>
      </c>
      <c r="W595" s="11">
        <v>24</v>
      </c>
      <c r="X595" s="11"/>
      <c r="Y595" s="11">
        <v>6</v>
      </c>
      <c r="Z595" s="11">
        <v>1</v>
      </c>
      <c r="AA595" s="11">
        <v>24</v>
      </c>
      <c r="AB595" s="11"/>
      <c r="AC595" s="11">
        <v>655</v>
      </c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>
        <v>655</v>
      </c>
      <c r="AP595" s="11"/>
      <c r="AQ595" s="11"/>
      <c r="AR595" s="11"/>
      <c r="AS595" s="11"/>
      <c r="AT595" s="11"/>
      <c r="AU595" s="20" t="str">
        <f>HYPERLINK("http://www.openstreetmap.org/?mlat=36.344&amp;mlon=43.3258&amp;zoom=12#map=12/36.344/43.3258","Maplink1")</f>
        <v>Maplink1</v>
      </c>
      <c r="AV595" s="20" t="str">
        <f>HYPERLINK("https://www.google.iq/maps/search/+36.344,43.3258/@36.344,43.3258,14z?hl=en","Maplink2")</f>
        <v>Maplink2</v>
      </c>
      <c r="AW595" s="20" t="str">
        <f>HYPERLINK("http://www.bing.com/maps/?lvl=14&amp;sty=h&amp;cp=36.344~43.3258&amp;sp=point.36.344_43.3258","Maplink3")</f>
        <v>Maplink3</v>
      </c>
    </row>
    <row r="596" spans="1:49" s="19" customFormat="1" x14ac:dyDescent="0.25">
      <c r="A596" s="9">
        <v>29613</v>
      </c>
      <c r="B596" s="10" t="s">
        <v>20</v>
      </c>
      <c r="C596" s="10" t="s">
        <v>898</v>
      </c>
      <c r="D596" s="10" t="s">
        <v>969</v>
      </c>
      <c r="E596" s="10" t="s">
        <v>970</v>
      </c>
      <c r="F596" s="10">
        <v>36.208440000000003</v>
      </c>
      <c r="G596" s="10">
        <v>43.537964000000002</v>
      </c>
      <c r="H596" s="11">
        <v>540</v>
      </c>
      <c r="I596" s="11">
        <v>3240</v>
      </c>
      <c r="J596" s="11"/>
      <c r="K596" s="11"/>
      <c r="L596" s="11"/>
      <c r="M596" s="11"/>
      <c r="N596" s="11">
        <v>50</v>
      </c>
      <c r="O596" s="11"/>
      <c r="P596" s="11">
        <v>485</v>
      </c>
      <c r="Q596" s="11"/>
      <c r="R596" s="11">
        <v>5</v>
      </c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>
        <v>534</v>
      </c>
      <c r="AD596" s="11"/>
      <c r="AE596" s="11"/>
      <c r="AF596" s="11"/>
      <c r="AG596" s="11"/>
      <c r="AH596" s="11"/>
      <c r="AI596" s="11"/>
      <c r="AJ596" s="11"/>
      <c r="AK596" s="11">
        <v>6</v>
      </c>
      <c r="AL596" s="11"/>
      <c r="AM596" s="11"/>
      <c r="AN596" s="11"/>
      <c r="AO596" s="11">
        <v>540</v>
      </c>
      <c r="AP596" s="11"/>
      <c r="AQ596" s="11"/>
      <c r="AR596" s="11"/>
      <c r="AS596" s="11"/>
      <c r="AT596" s="11"/>
      <c r="AU596" s="20" t="str">
        <f>HYPERLINK("http://www.openstreetmap.org/?mlat=36.2084&amp;mlon=43.538&amp;zoom=12#map=12/36.2084/43.538","Maplink1")</f>
        <v>Maplink1</v>
      </c>
      <c r="AV596" s="20" t="str">
        <f>HYPERLINK("https://www.google.iq/maps/search/+36.2084,43.538/@36.2084,43.538,14z?hl=en","Maplink2")</f>
        <v>Maplink2</v>
      </c>
      <c r="AW596" s="20" t="str">
        <f>HYPERLINK("http://www.bing.com/maps/?lvl=14&amp;sty=h&amp;cp=36.2084~43.538&amp;sp=point.36.2084_43.538","Maplink3")</f>
        <v>Maplink3</v>
      </c>
    </row>
    <row r="597" spans="1:49" s="19" customFormat="1" x14ac:dyDescent="0.25">
      <c r="A597" s="9">
        <v>22232</v>
      </c>
      <c r="B597" s="10" t="s">
        <v>20</v>
      </c>
      <c r="C597" s="10" t="s">
        <v>898</v>
      </c>
      <c r="D597" s="10" t="s">
        <v>971</v>
      </c>
      <c r="E597" s="10" t="s">
        <v>972</v>
      </c>
      <c r="F597" s="10">
        <v>36.326849000000003</v>
      </c>
      <c r="G597" s="10">
        <v>43.478197000000002</v>
      </c>
      <c r="H597" s="11">
        <v>148</v>
      </c>
      <c r="I597" s="11">
        <v>888</v>
      </c>
      <c r="J597" s="11"/>
      <c r="K597" s="11"/>
      <c r="L597" s="11"/>
      <c r="M597" s="11"/>
      <c r="N597" s="11"/>
      <c r="O597" s="11"/>
      <c r="P597" s="11">
        <v>113</v>
      </c>
      <c r="Q597" s="11"/>
      <c r="R597" s="11"/>
      <c r="S597" s="11"/>
      <c r="T597" s="11"/>
      <c r="U597" s="11"/>
      <c r="V597" s="11">
        <v>35</v>
      </c>
      <c r="W597" s="11"/>
      <c r="X597" s="11"/>
      <c r="Y597" s="11"/>
      <c r="Z597" s="11"/>
      <c r="AA597" s="11"/>
      <c r="AB597" s="11"/>
      <c r="AC597" s="11">
        <v>148</v>
      </c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>
        <v>130</v>
      </c>
      <c r="AP597" s="11"/>
      <c r="AQ597" s="11"/>
      <c r="AR597" s="11"/>
      <c r="AS597" s="11">
        <v>18</v>
      </c>
      <c r="AT597" s="11"/>
      <c r="AU597" s="20" t="str">
        <f>HYPERLINK("http://www.openstreetmap.org/?mlat=36.3268&amp;mlon=43.4782&amp;zoom=12#map=12/36.3268/43.4782","Maplink1")</f>
        <v>Maplink1</v>
      </c>
      <c r="AV597" s="20" t="str">
        <f>HYPERLINK("https://www.google.iq/maps/search/+36.3268,43.4782/@36.3268,43.4782,14z?hl=en","Maplink2")</f>
        <v>Maplink2</v>
      </c>
      <c r="AW597" s="20" t="str">
        <f>HYPERLINK("http://www.bing.com/maps/?lvl=14&amp;sty=h&amp;cp=36.3268~43.4782&amp;sp=point.36.3268_43.4782","Maplink3")</f>
        <v>Maplink3</v>
      </c>
    </row>
    <row r="598" spans="1:49" s="19" customFormat="1" x14ac:dyDescent="0.25">
      <c r="A598" s="9">
        <v>22544</v>
      </c>
      <c r="B598" s="10" t="s">
        <v>20</v>
      </c>
      <c r="C598" s="10" t="s">
        <v>898</v>
      </c>
      <c r="D598" s="10" t="s">
        <v>973</v>
      </c>
      <c r="E598" s="10" t="s">
        <v>974</v>
      </c>
      <c r="F598" s="10">
        <v>36.218119999999999</v>
      </c>
      <c r="G598" s="10">
        <v>43.306950999999998</v>
      </c>
      <c r="H598" s="11">
        <v>35</v>
      </c>
      <c r="I598" s="11">
        <v>210</v>
      </c>
      <c r="J598" s="11"/>
      <c r="K598" s="11"/>
      <c r="L598" s="11">
        <v>7</v>
      </c>
      <c r="M598" s="11"/>
      <c r="N598" s="11"/>
      <c r="O598" s="11"/>
      <c r="P598" s="11">
        <v>4</v>
      </c>
      <c r="Q598" s="11">
        <v>4</v>
      </c>
      <c r="R598" s="11"/>
      <c r="S598" s="11"/>
      <c r="T598" s="11"/>
      <c r="U598" s="11">
        <v>12</v>
      </c>
      <c r="V598" s="11"/>
      <c r="W598" s="11"/>
      <c r="X598" s="11"/>
      <c r="Y598" s="11"/>
      <c r="Z598" s="11"/>
      <c r="AA598" s="11">
        <v>8</v>
      </c>
      <c r="AB598" s="11"/>
      <c r="AC598" s="11">
        <v>35</v>
      </c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>
        <v>35</v>
      </c>
      <c r="AP598" s="11"/>
      <c r="AQ598" s="11"/>
      <c r="AR598" s="11"/>
      <c r="AS598" s="11"/>
      <c r="AT598" s="11"/>
      <c r="AU598" s="20" t="str">
        <f>HYPERLINK("http://www.openstreetmap.org/?mlat=36.2181&amp;mlon=43.307&amp;zoom=12#map=12/36.2181/43.307","Maplink1")</f>
        <v>Maplink1</v>
      </c>
      <c r="AV598" s="20" t="str">
        <f>HYPERLINK("https://www.google.iq/maps/search/+36.2181,43.307/@36.2181,43.307,14z?hl=en","Maplink2")</f>
        <v>Maplink2</v>
      </c>
      <c r="AW598" s="20" t="str">
        <f>HYPERLINK("http://www.bing.com/maps/?lvl=14&amp;sty=h&amp;cp=36.2181~43.307&amp;sp=point.36.2181_43.307","Maplink3")</f>
        <v>Maplink3</v>
      </c>
    </row>
    <row r="599" spans="1:49" s="19" customFormat="1" x14ac:dyDescent="0.25">
      <c r="A599" s="9">
        <v>22219</v>
      </c>
      <c r="B599" s="10" t="s">
        <v>20</v>
      </c>
      <c r="C599" s="10" t="s">
        <v>898</v>
      </c>
      <c r="D599" s="10" t="s">
        <v>975</v>
      </c>
      <c r="E599" s="10" t="s">
        <v>976</v>
      </c>
      <c r="F599" s="10">
        <v>36.349040000000002</v>
      </c>
      <c r="G599" s="10">
        <v>43.352899999999998</v>
      </c>
      <c r="H599" s="11">
        <v>455</v>
      </c>
      <c r="I599" s="11">
        <v>2730</v>
      </c>
      <c r="J599" s="11"/>
      <c r="K599" s="11">
        <v>24</v>
      </c>
      <c r="L599" s="11">
        <v>29</v>
      </c>
      <c r="M599" s="11"/>
      <c r="N599" s="11">
        <v>4</v>
      </c>
      <c r="O599" s="11"/>
      <c r="P599" s="11">
        <v>130</v>
      </c>
      <c r="Q599" s="11">
        <v>63</v>
      </c>
      <c r="R599" s="11"/>
      <c r="S599" s="11">
        <v>13</v>
      </c>
      <c r="T599" s="11">
        <v>7</v>
      </c>
      <c r="U599" s="11">
        <v>68</v>
      </c>
      <c r="V599" s="11">
        <v>2</v>
      </c>
      <c r="W599" s="11">
        <v>26</v>
      </c>
      <c r="X599" s="11"/>
      <c r="Y599" s="11">
        <v>23</v>
      </c>
      <c r="Z599" s="11">
        <v>11</v>
      </c>
      <c r="AA599" s="11">
        <v>55</v>
      </c>
      <c r="AB599" s="11"/>
      <c r="AC599" s="11">
        <v>455</v>
      </c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>
        <v>455</v>
      </c>
      <c r="AP599" s="11"/>
      <c r="AQ599" s="11"/>
      <c r="AR599" s="11"/>
      <c r="AS599" s="11"/>
      <c r="AT599" s="11"/>
      <c r="AU599" s="20" t="str">
        <f>HYPERLINK("http://www.openstreetmap.org/?mlat=36.349&amp;mlon=43.3529&amp;zoom=12#map=12/36.349/43.3529","Maplink1")</f>
        <v>Maplink1</v>
      </c>
      <c r="AV599" s="20" t="str">
        <f>HYPERLINK("https://www.google.iq/maps/search/+36.349,43.3529/@36.349,43.3529,14z?hl=en","Maplink2")</f>
        <v>Maplink2</v>
      </c>
      <c r="AW599" s="20" t="str">
        <f>HYPERLINK("http://www.bing.com/maps/?lvl=14&amp;sty=h&amp;cp=36.349~43.3529&amp;sp=point.36.349_43.3529","Maplink3")</f>
        <v>Maplink3</v>
      </c>
    </row>
    <row r="600" spans="1:49" s="19" customFormat="1" x14ac:dyDescent="0.25">
      <c r="A600" s="9">
        <v>32079</v>
      </c>
      <c r="B600" s="10" t="s">
        <v>20</v>
      </c>
      <c r="C600" s="10" t="s">
        <v>898</v>
      </c>
      <c r="D600" s="10" t="s">
        <v>977</v>
      </c>
      <c r="E600" s="10" t="s">
        <v>978</v>
      </c>
      <c r="F600" s="10">
        <v>36.321620000000003</v>
      </c>
      <c r="G600" s="10">
        <v>43.280805000000001</v>
      </c>
      <c r="H600" s="11">
        <v>81</v>
      </c>
      <c r="I600" s="11">
        <v>486</v>
      </c>
      <c r="J600" s="11"/>
      <c r="K600" s="11"/>
      <c r="L600" s="11"/>
      <c r="M600" s="11"/>
      <c r="N600" s="11"/>
      <c r="O600" s="11"/>
      <c r="P600" s="11">
        <v>79</v>
      </c>
      <c r="Q600" s="11"/>
      <c r="R600" s="11"/>
      <c r="S600" s="11"/>
      <c r="T600" s="11"/>
      <c r="U600" s="11"/>
      <c r="V600" s="11">
        <v>2</v>
      </c>
      <c r="W600" s="11"/>
      <c r="X600" s="11"/>
      <c r="Y600" s="11"/>
      <c r="Z600" s="11"/>
      <c r="AA600" s="11"/>
      <c r="AB600" s="11"/>
      <c r="AC600" s="11">
        <v>81</v>
      </c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>
        <v>81</v>
      </c>
      <c r="AP600" s="11"/>
      <c r="AQ600" s="11"/>
      <c r="AR600" s="11"/>
      <c r="AS600" s="11"/>
      <c r="AT600" s="11"/>
      <c r="AU600" s="20" t="str">
        <f>HYPERLINK("http://www.openstreetmap.org/?mlat=36.3216&amp;mlon=43.2808&amp;zoom=12#map=12/36.3216/43.2808","Maplink1")</f>
        <v>Maplink1</v>
      </c>
      <c r="AV600" s="20" t="str">
        <f>HYPERLINK("https://www.google.iq/maps/search/+36.3216,43.2808/@36.3216,43.2808,14z?hl=en","Maplink2")</f>
        <v>Maplink2</v>
      </c>
      <c r="AW600" s="20" t="str">
        <f>HYPERLINK("http://www.bing.com/maps/?lvl=14&amp;sty=h&amp;cp=36.3216~43.2808&amp;sp=point.36.3216_43.2808","Maplink3")</f>
        <v>Maplink3</v>
      </c>
    </row>
    <row r="601" spans="1:49" s="19" customFormat="1" x14ac:dyDescent="0.25">
      <c r="A601" s="9">
        <v>32098</v>
      </c>
      <c r="B601" s="10" t="s">
        <v>20</v>
      </c>
      <c r="C601" s="10" t="s">
        <v>898</v>
      </c>
      <c r="D601" s="10" t="s">
        <v>979</v>
      </c>
      <c r="E601" s="10" t="s">
        <v>980</v>
      </c>
      <c r="F601" s="10">
        <v>36.321666</v>
      </c>
      <c r="G601" s="10">
        <v>43.280810000000002</v>
      </c>
      <c r="H601" s="11">
        <v>43</v>
      </c>
      <c r="I601" s="11">
        <v>258</v>
      </c>
      <c r="J601" s="11"/>
      <c r="K601" s="11"/>
      <c r="L601" s="11"/>
      <c r="M601" s="11"/>
      <c r="N601" s="11">
        <v>2</v>
      </c>
      <c r="O601" s="11"/>
      <c r="P601" s="11">
        <v>35</v>
      </c>
      <c r="Q601" s="11"/>
      <c r="R601" s="11"/>
      <c r="S601" s="11">
        <v>3</v>
      </c>
      <c r="T601" s="11"/>
      <c r="U601" s="11"/>
      <c r="V601" s="11">
        <v>3</v>
      </c>
      <c r="W601" s="11"/>
      <c r="X601" s="11"/>
      <c r="Y601" s="11"/>
      <c r="Z601" s="11"/>
      <c r="AA601" s="11"/>
      <c r="AB601" s="11"/>
      <c r="AC601" s="11">
        <v>43</v>
      </c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>
        <v>43</v>
      </c>
      <c r="AP601" s="11"/>
      <c r="AQ601" s="11"/>
      <c r="AR601" s="11"/>
      <c r="AS601" s="11"/>
      <c r="AT601" s="11"/>
      <c r="AU601" s="20" t="str">
        <f>HYPERLINK("http://www.openstreetmap.org/?mlat=36.3217&amp;mlon=43.2808&amp;zoom=12#map=12/36.3217/43.2808","Maplink1")</f>
        <v>Maplink1</v>
      </c>
      <c r="AV601" s="20" t="str">
        <f>HYPERLINK("https://www.google.iq/maps/search/+36.3217,43.2808/@36.3217,43.2808,14z?hl=en","Maplink2")</f>
        <v>Maplink2</v>
      </c>
      <c r="AW601" s="20" t="str">
        <f>HYPERLINK("http://www.bing.com/maps/?lvl=14&amp;sty=h&amp;cp=36.3217~43.2808&amp;sp=point.36.3217_43.2808","Maplink3")</f>
        <v>Maplink3</v>
      </c>
    </row>
    <row r="602" spans="1:49" s="19" customFormat="1" x14ac:dyDescent="0.25">
      <c r="A602" s="9">
        <v>17366</v>
      </c>
      <c r="B602" s="10" t="s">
        <v>20</v>
      </c>
      <c r="C602" s="10" t="s">
        <v>898</v>
      </c>
      <c r="D602" s="10" t="s">
        <v>981</v>
      </c>
      <c r="E602" s="10" t="s">
        <v>982</v>
      </c>
      <c r="F602" s="10">
        <v>36.183857000000003</v>
      </c>
      <c r="G602" s="10">
        <v>43.538722999999997</v>
      </c>
      <c r="H602" s="11">
        <v>545</v>
      </c>
      <c r="I602" s="11">
        <v>3270</v>
      </c>
      <c r="J602" s="11"/>
      <c r="K602" s="11"/>
      <c r="L602" s="11"/>
      <c r="M602" s="11"/>
      <c r="N602" s="11">
        <v>153</v>
      </c>
      <c r="O602" s="11"/>
      <c r="P602" s="11">
        <v>392</v>
      </c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>
        <v>535</v>
      </c>
      <c r="AD602" s="11"/>
      <c r="AE602" s="11"/>
      <c r="AF602" s="11"/>
      <c r="AG602" s="11"/>
      <c r="AH602" s="11"/>
      <c r="AI602" s="11"/>
      <c r="AJ602" s="11"/>
      <c r="AK602" s="11">
        <v>10</v>
      </c>
      <c r="AL602" s="11"/>
      <c r="AM602" s="11"/>
      <c r="AN602" s="11"/>
      <c r="AO602" s="11">
        <v>545</v>
      </c>
      <c r="AP602" s="11"/>
      <c r="AQ602" s="11"/>
      <c r="AR602" s="11"/>
      <c r="AS602" s="11"/>
      <c r="AT602" s="11"/>
      <c r="AU602" s="20" t="str">
        <f>HYPERLINK("http://www.openstreetmap.org/?mlat=36.1839&amp;mlon=43.5387&amp;zoom=12#map=12/36.1839/43.5387","Maplink1")</f>
        <v>Maplink1</v>
      </c>
      <c r="AV602" s="20" t="str">
        <f>HYPERLINK("https://www.google.iq/maps/search/+36.1839,43.5387/@36.1839,43.5387,14z?hl=en","Maplink2")</f>
        <v>Maplink2</v>
      </c>
      <c r="AW602" s="20" t="str">
        <f>HYPERLINK("http://www.bing.com/maps/?lvl=14&amp;sty=h&amp;cp=36.1839~43.5387&amp;sp=point.36.1839_43.5387","Maplink3")</f>
        <v>Maplink3</v>
      </c>
    </row>
    <row r="603" spans="1:49" s="19" customFormat="1" x14ac:dyDescent="0.25">
      <c r="A603" s="9">
        <v>22115</v>
      </c>
      <c r="B603" s="10" t="s">
        <v>20</v>
      </c>
      <c r="C603" s="10" t="s">
        <v>898</v>
      </c>
      <c r="D603" s="10" t="s">
        <v>983</v>
      </c>
      <c r="E603" s="10" t="s">
        <v>984</v>
      </c>
      <c r="F603" s="10">
        <v>36.269095999999998</v>
      </c>
      <c r="G603" s="10">
        <v>43.504150000000003</v>
      </c>
      <c r="H603" s="11">
        <v>74</v>
      </c>
      <c r="I603" s="11">
        <v>444</v>
      </c>
      <c r="J603" s="11"/>
      <c r="K603" s="11"/>
      <c r="L603" s="11">
        <v>2</v>
      </c>
      <c r="M603" s="11"/>
      <c r="N603" s="11"/>
      <c r="O603" s="11"/>
      <c r="P603" s="11">
        <v>61</v>
      </c>
      <c r="Q603" s="11"/>
      <c r="R603" s="11"/>
      <c r="S603" s="11"/>
      <c r="T603" s="11"/>
      <c r="U603" s="11"/>
      <c r="V603" s="11">
        <v>11</v>
      </c>
      <c r="W603" s="11"/>
      <c r="X603" s="11"/>
      <c r="Y603" s="11"/>
      <c r="Z603" s="11"/>
      <c r="AA603" s="11"/>
      <c r="AB603" s="11"/>
      <c r="AC603" s="11">
        <v>74</v>
      </c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>
        <v>74</v>
      </c>
      <c r="AP603" s="11"/>
      <c r="AQ603" s="11"/>
      <c r="AR603" s="11"/>
      <c r="AS603" s="11"/>
      <c r="AT603" s="11"/>
      <c r="AU603" s="20" t="str">
        <f>HYPERLINK("http://www.openstreetmap.org/?mlat=36.2691&amp;mlon=43.5042&amp;zoom=12#map=12/36.2691/43.5042","Maplink1")</f>
        <v>Maplink1</v>
      </c>
      <c r="AV603" s="20" t="str">
        <f>HYPERLINK("https://www.google.iq/maps/search/+36.2691,43.5042/@36.2691,43.5042,14z?hl=en","Maplink2")</f>
        <v>Maplink2</v>
      </c>
      <c r="AW603" s="20" t="str">
        <f>HYPERLINK("http://www.bing.com/maps/?lvl=14&amp;sty=h&amp;cp=36.2691~43.5042&amp;sp=point.36.2691_43.5042","Maplink3")</f>
        <v>Maplink3</v>
      </c>
    </row>
    <row r="604" spans="1:49" s="19" customFormat="1" x14ac:dyDescent="0.25">
      <c r="A604" s="9">
        <v>17051</v>
      </c>
      <c r="B604" s="10" t="s">
        <v>20</v>
      </c>
      <c r="C604" s="10" t="s">
        <v>985</v>
      </c>
      <c r="D604" s="10" t="s">
        <v>986</v>
      </c>
      <c r="E604" s="10" t="s">
        <v>987</v>
      </c>
      <c r="F604" s="10">
        <v>36.565376000000001</v>
      </c>
      <c r="G604" s="10">
        <v>43.251838999999997</v>
      </c>
      <c r="H604" s="11">
        <v>22</v>
      </c>
      <c r="I604" s="11">
        <v>132</v>
      </c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>
        <v>22</v>
      </c>
      <c r="W604" s="11"/>
      <c r="X604" s="11"/>
      <c r="Y604" s="11"/>
      <c r="Z604" s="11"/>
      <c r="AA604" s="11"/>
      <c r="AB604" s="11"/>
      <c r="AC604" s="11">
        <v>22</v>
      </c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>
        <v>22</v>
      </c>
      <c r="AP604" s="11"/>
      <c r="AQ604" s="11"/>
      <c r="AR604" s="11"/>
      <c r="AS604" s="11"/>
      <c r="AT604" s="11"/>
      <c r="AU604" s="20" t="str">
        <f>HYPERLINK("http://www.openstreetmap.org/?mlat=36.5654&amp;mlon=43.2518&amp;zoom=12#map=12/36.5654/43.2518","Maplink1")</f>
        <v>Maplink1</v>
      </c>
      <c r="AV604" s="20" t="str">
        <f>HYPERLINK("https://www.google.iq/maps/search/+36.5654,43.2518/@36.5654,43.2518,14z?hl=en","Maplink2")</f>
        <v>Maplink2</v>
      </c>
      <c r="AW604" s="20" t="str">
        <f>HYPERLINK("http://www.bing.com/maps/?lvl=14&amp;sty=h&amp;cp=36.5654~43.2518&amp;sp=point.36.5654_43.2518","Maplink3")</f>
        <v>Maplink3</v>
      </c>
    </row>
    <row r="605" spans="1:49" s="19" customFormat="1" x14ac:dyDescent="0.25">
      <c r="A605" s="9">
        <v>32097</v>
      </c>
      <c r="B605" s="10" t="s">
        <v>20</v>
      </c>
      <c r="C605" s="10" t="s">
        <v>985</v>
      </c>
      <c r="D605" s="10" t="s">
        <v>988</v>
      </c>
      <c r="E605" s="10" t="s">
        <v>989</v>
      </c>
      <c r="F605" s="10">
        <v>36.632944000000002</v>
      </c>
      <c r="G605" s="10">
        <v>43.253646000000003</v>
      </c>
      <c r="H605" s="11">
        <v>45</v>
      </c>
      <c r="I605" s="11">
        <v>270</v>
      </c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>
        <v>45</v>
      </c>
      <c r="W605" s="11"/>
      <c r="X605" s="11"/>
      <c r="Y605" s="11"/>
      <c r="Z605" s="11"/>
      <c r="AA605" s="11"/>
      <c r="AB605" s="11"/>
      <c r="AC605" s="11">
        <v>45</v>
      </c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>
        <v>45</v>
      </c>
      <c r="AP605" s="11"/>
      <c r="AQ605" s="11"/>
      <c r="AR605" s="11"/>
      <c r="AS605" s="11"/>
      <c r="AT605" s="11"/>
      <c r="AU605" s="20" t="str">
        <f>HYPERLINK("http://www.openstreetmap.org/?mlat=36.6329&amp;mlon=43.2536&amp;zoom=12#map=12/36.6329/43.2536","Maplink1")</f>
        <v>Maplink1</v>
      </c>
      <c r="AV605" s="20" t="str">
        <f>HYPERLINK("https://www.google.iq/maps/search/+36.6329,43.2536/@36.6329,43.2536,14z?hl=en","Maplink2")</f>
        <v>Maplink2</v>
      </c>
      <c r="AW605" s="20" t="str">
        <f>HYPERLINK("http://www.bing.com/maps/?lvl=14&amp;sty=h&amp;cp=36.6329~43.2536&amp;sp=point.36.6329_43.2536","Maplink3")</f>
        <v>Maplink3</v>
      </c>
    </row>
    <row r="606" spans="1:49" s="19" customFormat="1" x14ac:dyDescent="0.25">
      <c r="A606" s="9">
        <v>22072</v>
      </c>
      <c r="B606" s="10" t="s">
        <v>20</v>
      </c>
      <c r="C606" s="10" t="s">
        <v>985</v>
      </c>
      <c r="D606" s="10" t="s">
        <v>990</v>
      </c>
      <c r="E606" s="10" t="s">
        <v>991</v>
      </c>
      <c r="F606" s="10">
        <v>36.629018000000002</v>
      </c>
      <c r="G606" s="10">
        <v>43.254179999999998</v>
      </c>
      <c r="H606" s="11">
        <v>33</v>
      </c>
      <c r="I606" s="11">
        <v>198</v>
      </c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>
        <v>33</v>
      </c>
      <c r="W606" s="11"/>
      <c r="X606" s="11"/>
      <c r="Y606" s="11"/>
      <c r="Z606" s="11"/>
      <c r="AA606" s="11"/>
      <c r="AB606" s="11"/>
      <c r="AC606" s="11">
        <v>33</v>
      </c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>
        <v>33</v>
      </c>
      <c r="AP606" s="11"/>
      <c r="AQ606" s="11"/>
      <c r="AR606" s="11"/>
      <c r="AS606" s="11"/>
      <c r="AT606" s="11"/>
      <c r="AU606" s="20" t="str">
        <f>HYPERLINK("http://www.openstreetmap.org/?mlat=36.629&amp;mlon=43.2542&amp;zoom=12#map=12/36.629/43.2542","Maplink1")</f>
        <v>Maplink1</v>
      </c>
      <c r="AV606" s="20" t="str">
        <f>HYPERLINK("https://www.google.iq/maps/search/+36.629,43.2542/@36.629,43.2542,14z?hl=en","Maplink2")</f>
        <v>Maplink2</v>
      </c>
      <c r="AW606" s="20" t="str">
        <f>HYPERLINK("http://www.bing.com/maps/?lvl=14&amp;sty=h&amp;cp=36.629~43.2542&amp;sp=point.36.629_43.2542","Maplink3")</f>
        <v>Maplink3</v>
      </c>
    </row>
    <row r="607" spans="1:49" s="19" customFormat="1" x14ac:dyDescent="0.25">
      <c r="A607" s="9">
        <v>17875</v>
      </c>
      <c r="B607" s="10" t="s">
        <v>20</v>
      </c>
      <c r="C607" s="10" t="s">
        <v>985</v>
      </c>
      <c r="D607" s="10" t="s">
        <v>992</v>
      </c>
      <c r="E607" s="10" t="s">
        <v>993</v>
      </c>
      <c r="F607" s="10">
        <v>36.602573</v>
      </c>
      <c r="G607" s="10">
        <v>43.279224999999997</v>
      </c>
      <c r="H607" s="11">
        <v>32</v>
      </c>
      <c r="I607" s="11">
        <v>192</v>
      </c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>
        <v>32</v>
      </c>
      <c r="W607" s="11"/>
      <c r="X607" s="11"/>
      <c r="Y607" s="11"/>
      <c r="Z607" s="11"/>
      <c r="AA607" s="11"/>
      <c r="AB607" s="11"/>
      <c r="AC607" s="11">
        <v>32</v>
      </c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>
        <v>32</v>
      </c>
      <c r="AP607" s="11"/>
      <c r="AQ607" s="11"/>
      <c r="AR607" s="11"/>
      <c r="AS607" s="11"/>
      <c r="AT607" s="11"/>
      <c r="AU607" s="20" t="str">
        <f>HYPERLINK("http://www.openstreetmap.org/?mlat=36.6026&amp;mlon=43.2792&amp;zoom=12#map=12/36.6026/43.2792","Maplink1")</f>
        <v>Maplink1</v>
      </c>
      <c r="AV607" s="20" t="str">
        <f>HYPERLINK("https://www.google.iq/maps/search/+36.6026,43.2792/@36.6026,43.2792,14z?hl=en","Maplink2")</f>
        <v>Maplink2</v>
      </c>
      <c r="AW607" s="20" t="str">
        <f>HYPERLINK("http://www.bing.com/maps/?lvl=14&amp;sty=h&amp;cp=36.6026~43.2792&amp;sp=point.36.6026_43.2792","Maplink3")</f>
        <v>Maplink3</v>
      </c>
    </row>
    <row r="608" spans="1:49" s="19" customFormat="1" x14ac:dyDescent="0.25">
      <c r="A608" s="9">
        <v>17045</v>
      </c>
      <c r="B608" s="10" t="s">
        <v>20</v>
      </c>
      <c r="C608" s="10" t="s">
        <v>985</v>
      </c>
      <c r="D608" s="10" t="s">
        <v>994</v>
      </c>
      <c r="E608" s="10" t="s">
        <v>995</v>
      </c>
      <c r="F608" s="10">
        <v>36.583356999999999</v>
      </c>
      <c r="G608" s="10">
        <v>43.242018999999999</v>
      </c>
      <c r="H608" s="11">
        <v>36</v>
      </c>
      <c r="I608" s="11">
        <v>216</v>
      </c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>
        <v>36</v>
      </c>
      <c r="W608" s="11"/>
      <c r="X608" s="11"/>
      <c r="Y608" s="11"/>
      <c r="Z608" s="11"/>
      <c r="AA608" s="11"/>
      <c r="AB608" s="11"/>
      <c r="AC608" s="11">
        <v>36</v>
      </c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>
        <v>36</v>
      </c>
      <c r="AP608" s="11"/>
      <c r="AQ608" s="11"/>
      <c r="AR608" s="11"/>
      <c r="AS608" s="11"/>
      <c r="AT608" s="11"/>
      <c r="AU608" s="20" t="str">
        <f>HYPERLINK("http://www.openstreetmap.org/?mlat=36.5834&amp;mlon=43.242&amp;zoom=12#map=12/36.5834/43.242","Maplink1")</f>
        <v>Maplink1</v>
      </c>
      <c r="AV608" s="20" t="str">
        <f>HYPERLINK("https://www.google.iq/maps/search/+36.5834,43.242/@36.5834,43.242,14z?hl=en","Maplink2")</f>
        <v>Maplink2</v>
      </c>
      <c r="AW608" s="20" t="str">
        <f>HYPERLINK("http://www.bing.com/maps/?lvl=14&amp;sty=h&amp;cp=36.5834~43.242&amp;sp=point.36.5834_43.242","Maplink3")</f>
        <v>Maplink3</v>
      </c>
    </row>
    <row r="609" spans="1:49" s="19" customFormat="1" x14ac:dyDescent="0.25">
      <c r="A609" s="9">
        <v>17049</v>
      </c>
      <c r="B609" s="10" t="s">
        <v>20</v>
      </c>
      <c r="C609" s="10" t="s">
        <v>985</v>
      </c>
      <c r="D609" s="10" t="s">
        <v>996</v>
      </c>
      <c r="E609" s="10" t="s">
        <v>997</v>
      </c>
      <c r="F609" s="10">
        <v>36.567179000000003</v>
      </c>
      <c r="G609" s="10">
        <v>43.236133000000002</v>
      </c>
      <c r="H609" s="11">
        <v>22</v>
      </c>
      <c r="I609" s="11">
        <v>132</v>
      </c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>
        <v>22</v>
      </c>
      <c r="W609" s="11"/>
      <c r="X609" s="11"/>
      <c r="Y609" s="11"/>
      <c r="Z609" s="11"/>
      <c r="AA609" s="11"/>
      <c r="AB609" s="11"/>
      <c r="AC609" s="11">
        <v>22</v>
      </c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>
        <v>22</v>
      </c>
      <c r="AP609" s="11"/>
      <c r="AQ609" s="11"/>
      <c r="AR609" s="11"/>
      <c r="AS609" s="11"/>
      <c r="AT609" s="11"/>
      <c r="AU609" s="20" t="str">
        <f>HYPERLINK("http://www.openstreetmap.org/?mlat=36.5672&amp;mlon=43.2361&amp;zoom=12#map=12/36.5672/43.2361","Maplink1")</f>
        <v>Maplink1</v>
      </c>
      <c r="AV609" s="20" t="str">
        <f>HYPERLINK("https://www.google.iq/maps/search/+36.5672,43.2361/@36.5672,43.2361,14z?hl=en","Maplink2")</f>
        <v>Maplink2</v>
      </c>
      <c r="AW609" s="20" t="str">
        <f>HYPERLINK("http://www.bing.com/maps/?lvl=14&amp;sty=h&amp;cp=36.5672~43.2361&amp;sp=point.36.5672_43.2361","Maplink3")</f>
        <v>Maplink3</v>
      </c>
    </row>
    <row r="610" spans="1:49" s="19" customFormat="1" x14ac:dyDescent="0.25">
      <c r="A610" s="9">
        <v>33114</v>
      </c>
      <c r="B610" s="10" t="s">
        <v>20</v>
      </c>
      <c r="C610" s="10" t="s">
        <v>998</v>
      </c>
      <c r="D610" s="10" t="s">
        <v>1611</v>
      </c>
      <c r="E610" s="10" t="s">
        <v>1612</v>
      </c>
      <c r="F610" s="10">
        <v>35.781782999999997</v>
      </c>
      <c r="G610" s="10">
        <v>43.003546</v>
      </c>
      <c r="H610" s="11">
        <v>54</v>
      </c>
      <c r="I610" s="11">
        <v>324</v>
      </c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>
        <v>54</v>
      </c>
      <c r="W610" s="11"/>
      <c r="X610" s="11"/>
      <c r="Y610" s="11"/>
      <c r="Z610" s="11"/>
      <c r="AA610" s="11"/>
      <c r="AB610" s="11"/>
      <c r="AC610" s="11">
        <v>54</v>
      </c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>
        <v>54</v>
      </c>
      <c r="AU610" s="20" t="str">
        <f>HYPERLINK("http://www.openstreetmap.org/?mlat=35.7818&amp;mlon=43.0035&amp;zoom=12#map=12/35.7818/43.0035","Maplink1")</f>
        <v>Maplink1</v>
      </c>
      <c r="AV610" s="20" t="str">
        <f>HYPERLINK("https://www.google.iq/maps/search/+35.7818,43.0035/@35.7818,43.0035,14z?hl=en","Maplink2")</f>
        <v>Maplink2</v>
      </c>
      <c r="AW610" s="20" t="str">
        <f>HYPERLINK("http://www.bing.com/maps/?lvl=14&amp;sty=h&amp;cp=35.7818~43.0035&amp;sp=point.35.7818_43.0035","Maplink3")</f>
        <v>Maplink3</v>
      </c>
    </row>
    <row r="611" spans="1:49" s="19" customFormat="1" x14ac:dyDescent="0.25">
      <c r="A611" s="9">
        <v>33182</v>
      </c>
      <c r="B611" s="10" t="s">
        <v>20</v>
      </c>
      <c r="C611" s="10" t="s">
        <v>998</v>
      </c>
      <c r="D611" s="10" t="s">
        <v>1920</v>
      </c>
      <c r="E611" s="10" t="s">
        <v>1921</v>
      </c>
      <c r="F611" s="10">
        <v>35.982176000000003</v>
      </c>
      <c r="G611" s="10">
        <v>42.695250999999999</v>
      </c>
      <c r="H611" s="11">
        <v>47</v>
      </c>
      <c r="I611" s="11">
        <v>282</v>
      </c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>
        <v>47</v>
      </c>
      <c r="W611" s="11"/>
      <c r="X611" s="11"/>
      <c r="Y611" s="11"/>
      <c r="Z611" s="11"/>
      <c r="AA611" s="11"/>
      <c r="AB611" s="11"/>
      <c r="AC611" s="11">
        <v>47</v>
      </c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>
        <v>47</v>
      </c>
      <c r="AT611" s="11"/>
      <c r="AU611" s="20" t="str">
        <f>HYPERLINK("http://www.openstreetmap.org/?mlat=35.9822&amp;mlon=42.6953&amp;zoom=12#map=12/35.9822/42.6953","Maplink1")</f>
        <v>Maplink1</v>
      </c>
      <c r="AV611" s="20" t="str">
        <f>HYPERLINK("https://www.google.iq/maps/search/+35.9822,42.6953/@35.9822,42.6953,14z?hl=en","Maplink2")</f>
        <v>Maplink2</v>
      </c>
      <c r="AW611" s="20" t="str">
        <f>HYPERLINK("http://www.bing.com/maps/?lvl=14&amp;sty=h&amp;cp=35.9822~42.6953&amp;sp=point.35.9822_42.6953","Maplink3")</f>
        <v>Maplink3</v>
      </c>
    </row>
    <row r="612" spans="1:49" s="19" customFormat="1" x14ac:dyDescent="0.25">
      <c r="A612" s="9">
        <v>33232</v>
      </c>
      <c r="B612" s="10" t="s">
        <v>20</v>
      </c>
      <c r="C612" s="10" t="s">
        <v>998</v>
      </c>
      <c r="D612" s="10" t="s">
        <v>2137</v>
      </c>
      <c r="E612" s="10" t="s">
        <v>2138</v>
      </c>
      <c r="F612" s="10">
        <v>35.894770999999999</v>
      </c>
      <c r="G612" s="10">
        <v>42.733356999999998</v>
      </c>
      <c r="H612" s="11">
        <v>7</v>
      </c>
      <c r="I612" s="11">
        <v>42</v>
      </c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>
        <v>7</v>
      </c>
      <c r="W612" s="11"/>
      <c r="X612" s="11"/>
      <c r="Y612" s="11"/>
      <c r="Z612" s="11"/>
      <c r="AA612" s="11"/>
      <c r="AB612" s="11"/>
      <c r="AC612" s="11">
        <v>7</v>
      </c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>
        <v>7</v>
      </c>
      <c r="AT612" s="11"/>
      <c r="AU612" s="20" t="str">
        <f>HYPERLINK("http://www.openstreetmap.org/?mlat=35.8948&amp;mlon=42.7334&amp;zoom=12#map=12/35.8948/42.7334","Maplink1")</f>
        <v>Maplink1</v>
      </c>
      <c r="AV612" s="20" t="str">
        <f>HYPERLINK("https://www.google.iq/maps/search/+35.8948,42.7334/@35.8948,42.7334,14z?hl=en","Maplink2")</f>
        <v>Maplink2</v>
      </c>
      <c r="AW612" s="20" t="str">
        <f>HYPERLINK("http://www.bing.com/maps/?lvl=14&amp;sty=h&amp;cp=35.8948~42.7334&amp;sp=point.35.8948_42.7334","Maplink3")</f>
        <v>Maplink3</v>
      </c>
    </row>
    <row r="613" spans="1:49" s="19" customFormat="1" x14ac:dyDescent="0.25">
      <c r="A613" s="9">
        <v>33230</v>
      </c>
      <c r="B613" s="10" t="s">
        <v>20</v>
      </c>
      <c r="C613" s="10" t="s">
        <v>998</v>
      </c>
      <c r="D613" s="10" t="s">
        <v>2139</v>
      </c>
      <c r="E613" s="10" t="s">
        <v>2140</v>
      </c>
      <c r="F613" s="10">
        <v>35.905118999999999</v>
      </c>
      <c r="G613" s="10">
        <v>42.721862999999999</v>
      </c>
      <c r="H613" s="11">
        <v>30</v>
      </c>
      <c r="I613" s="11">
        <v>180</v>
      </c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>
        <v>30</v>
      </c>
      <c r="W613" s="11"/>
      <c r="X613" s="11"/>
      <c r="Y613" s="11"/>
      <c r="Z613" s="11"/>
      <c r="AA613" s="11"/>
      <c r="AB613" s="11"/>
      <c r="AC613" s="11">
        <v>30</v>
      </c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>
        <v>30</v>
      </c>
      <c r="AT613" s="11"/>
      <c r="AU613" s="20" t="str">
        <f>HYPERLINK("http://www.openstreetmap.org/?mlat=35.9051&amp;mlon=42.7219&amp;zoom=12#map=12/35.9051/42.7219","Maplink1")</f>
        <v>Maplink1</v>
      </c>
      <c r="AV613" s="20" t="str">
        <f>HYPERLINK("https://www.google.iq/maps/search/+35.9051,42.7219/@35.9051,42.7219,14z?hl=en","Maplink2")</f>
        <v>Maplink2</v>
      </c>
      <c r="AW613" s="20" t="str">
        <f>HYPERLINK("http://www.bing.com/maps/?lvl=14&amp;sty=h&amp;cp=35.9051~42.7219&amp;sp=point.35.9051_42.7219","Maplink3")</f>
        <v>Maplink3</v>
      </c>
    </row>
    <row r="614" spans="1:49" s="19" customFormat="1" x14ac:dyDescent="0.25">
      <c r="A614" s="9">
        <v>33173</v>
      </c>
      <c r="B614" s="10" t="s">
        <v>20</v>
      </c>
      <c r="C614" s="10" t="s">
        <v>998</v>
      </c>
      <c r="D614" s="10" t="s">
        <v>1752</v>
      </c>
      <c r="E614" s="10" t="s">
        <v>1753</v>
      </c>
      <c r="F614" s="10">
        <v>35.654992</v>
      </c>
      <c r="G614" s="10">
        <v>42.974305999999999</v>
      </c>
      <c r="H614" s="11">
        <v>8</v>
      </c>
      <c r="I614" s="11">
        <v>48</v>
      </c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>
        <v>8</v>
      </c>
      <c r="Y614" s="11"/>
      <c r="Z614" s="11"/>
      <c r="AA614" s="11"/>
      <c r="AB614" s="11"/>
      <c r="AC614" s="11">
        <v>8</v>
      </c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>
        <v>8</v>
      </c>
      <c r="AS614" s="11"/>
      <c r="AT614" s="11"/>
      <c r="AU614" s="20" t="str">
        <f>HYPERLINK("http://www.openstreetmap.org/?mlat=35.655&amp;mlon=42.9743&amp;zoom=12#map=12/35.655/42.9743","Maplink1")</f>
        <v>Maplink1</v>
      </c>
      <c r="AV614" s="20" t="str">
        <f>HYPERLINK("https://www.google.iq/maps/search/+35.655,42.9743/@35.655,42.9743,14z?hl=en","Maplink2")</f>
        <v>Maplink2</v>
      </c>
      <c r="AW614" s="20" t="str">
        <f>HYPERLINK("http://www.bing.com/maps/?lvl=14&amp;sty=h&amp;cp=35.655~42.9743&amp;sp=point.35.655_42.9743","Maplink3")</f>
        <v>Maplink3</v>
      </c>
    </row>
    <row r="615" spans="1:49" s="19" customFormat="1" x14ac:dyDescent="0.25">
      <c r="A615" s="9">
        <v>33163</v>
      </c>
      <c r="B615" s="10" t="s">
        <v>20</v>
      </c>
      <c r="C615" s="10" t="s">
        <v>998</v>
      </c>
      <c r="D615" s="10" t="s">
        <v>1754</v>
      </c>
      <c r="E615" s="10" t="s">
        <v>1755</v>
      </c>
      <c r="F615" s="10">
        <v>35.717607999999998</v>
      </c>
      <c r="G615" s="10">
        <v>42.975786999999997</v>
      </c>
      <c r="H615" s="11">
        <v>15</v>
      </c>
      <c r="I615" s="11">
        <v>90</v>
      </c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>
        <v>9</v>
      </c>
      <c r="W615" s="11"/>
      <c r="X615" s="11">
        <v>6</v>
      </c>
      <c r="Y615" s="11"/>
      <c r="Z615" s="11"/>
      <c r="AA615" s="11"/>
      <c r="AB615" s="11"/>
      <c r="AC615" s="11">
        <v>15</v>
      </c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>
        <v>15</v>
      </c>
      <c r="AS615" s="11"/>
      <c r="AT615" s="11"/>
      <c r="AU615" s="20" t="str">
        <f>HYPERLINK("http://www.openstreetmap.org/?mlat=35.7176&amp;mlon=42.9758&amp;zoom=12#map=12/35.7176/42.9758","Maplink1")</f>
        <v>Maplink1</v>
      </c>
      <c r="AV615" s="20" t="str">
        <f>HYPERLINK("https://www.google.iq/maps/search/+35.7176,42.9758/@35.7176,42.9758,14z?hl=en","Maplink2")</f>
        <v>Maplink2</v>
      </c>
      <c r="AW615" s="20" t="str">
        <f>HYPERLINK("http://www.bing.com/maps/?lvl=14&amp;sty=h&amp;cp=35.7176~42.9758&amp;sp=point.35.7176_42.9758","Maplink3")</f>
        <v>Maplink3</v>
      </c>
    </row>
    <row r="616" spans="1:49" s="19" customFormat="1" x14ac:dyDescent="0.25">
      <c r="A616" s="9">
        <v>33162</v>
      </c>
      <c r="B616" s="10" t="s">
        <v>20</v>
      </c>
      <c r="C616" s="10" t="s">
        <v>998</v>
      </c>
      <c r="D616" s="10" t="s">
        <v>1756</v>
      </c>
      <c r="E616" s="10" t="s">
        <v>1757</v>
      </c>
      <c r="F616" s="10">
        <v>35.725397000000001</v>
      </c>
      <c r="G616" s="10">
        <v>43.002372000000001</v>
      </c>
      <c r="H616" s="11">
        <v>10</v>
      </c>
      <c r="I616" s="11">
        <v>60</v>
      </c>
      <c r="J616" s="11"/>
      <c r="K616" s="11"/>
      <c r="L616" s="11"/>
      <c r="M616" s="11"/>
      <c r="N616" s="11"/>
      <c r="O616" s="11"/>
      <c r="P616" s="11"/>
      <c r="Q616" s="11"/>
      <c r="R616" s="11">
        <v>1</v>
      </c>
      <c r="S616" s="11"/>
      <c r="T616" s="11"/>
      <c r="U616" s="11"/>
      <c r="V616" s="11">
        <v>9</v>
      </c>
      <c r="W616" s="11"/>
      <c r="X616" s="11"/>
      <c r="Y616" s="11"/>
      <c r="Z616" s="11"/>
      <c r="AA616" s="11"/>
      <c r="AB616" s="11"/>
      <c r="AC616" s="11">
        <v>10</v>
      </c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>
        <v>8</v>
      </c>
      <c r="AS616" s="11">
        <v>2</v>
      </c>
      <c r="AT616" s="11"/>
      <c r="AU616" s="20" t="str">
        <f>HYPERLINK("http://www.openstreetmap.org/?mlat=35.7254&amp;mlon=43.0024&amp;zoom=12#map=12/35.7254/43.0024","Maplink1")</f>
        <v>Maplink1</v>
      </c>
      <c r="AV616" s="20" t="str">
        <f>HYPERLINK("https://www.google.iq/maps/search/+35.7254,43.0024/@35.7254,43.0024,14z?hl=en","Maplink2")</f>
        <v>Maplink2</v>
      </c>
      <c r="AW616" s="20" t="str">
        <f>HYPERLINK("http://www.bing.com/maps/?lvl=14&amp;sty=h&amp;cp=35.7254~43.0024&amp;sp=point.35.7254_43.0024","Maplink3")</f>
        <v>Maplink3</v>
      </c>
    </row>
    <row r="617" spans="1:49" s="19" customFormat="1" x14ac:dyDescent="0.25">
      <c r="A617" s="9">
        <v>33192</v>
      </c>
      <c r="B617" s="10" t="s">
        <v>20</v>
      </c>
      <c r="C617" s="10" t="s">
        <v>998</v>
      </c>
      <c r="D617" s="10" t="s">
        <v>1922</v>
      </c>
      <c r="E617" s="10" t="s">
        <v>1923</v>
      </c>
      <c r="F617" s="10">
        <v>35.772179999999999</v>
      </c>
      <c r="G617" s="10">
        <v>42.777681999999999</v>
      </c>
      <c r="H617" s="11">
        <v>7</v>
      </c>
      <c r="I617" s="11">
        <v>42</v>
      </c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>
        <v>7</v>
      </c>
      <c r="W617" s="11"/>
      <c r="X617" s="11"/>
      <c r="Y617" s="11"/>
      <c r="Z617" s="11"/>
      <c r="AA617" s="11"/>
      <c r="AB617" s="11"/>
      <c r="AC617" s="11">
        <v>7</v>
      </c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>
        <v>7</v>
      </c>
      <c r="AT617" s="11"/>
      <c r="AU617" s="20" t="str">
        <f>HYPERLINK("http://www.openstreetmap.org/?mlat=35.7722&amp;mlon=42.7777&amp;zoom=12#map=12/35.7722/42.7777","Maplink1")</f>
        <v>Maplink1</v>
      </c>
      <c r="AV617" s="20" t="str">
        <f>HYPERLINK("https://www.google.iq/maps/search/+35.7722,42.7777/@35.7722,42.7777,14z?hl=en","Maplink2")</f>
        <v>Maplink2</v>
      </c>
      <c r="AW617" s="20" t="str">
        <f>HYPERLINK("http://www.bing.com/maps/?lvl=14&amp;sty=h&amp;cp=35.7722~42.7777&amp;sp=point.35.7722_42.7777","Maplink3")</f>
        <v>Maplink3</v>
      </c>
    </row>
    <row r="618" spans="1:49" s="19" customFormat="1" x14ac:dyDescent="0.25">
      <c r="A618" s="9">
        <v>33196</v>
      </c>
      <c r="B618" s="10" t="s">
        <v>20</v>
      </c>
      <c r="C618" s="10" t="s">
        <v>998</v>
      </c>
      <c r="D618" s="10" t="s">
        <v>1924</v>
      </c>
      <c r="E618" s="10" t="s">
        <v>1925</v>
      </c>
      <c r="F618" s="10">
        <v>35.772959999999998</v>
      </c>
      <c r="G618" s="10">
        <v>42.777782000000002</v>
      </c>
      <c r="H618" s="11">
        <v>63</v>
      </c>
      <c r="I618" s="11">
        <v>378</v>
      </c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>
        <v>63</v>
      </c>
      <c r="W618" s="11"/>
      <c r="X618" s="11"/>
      <c r="Y618" s="11"/>
      <c r="Z618" s="11"/>
      <c r="AA618" s="11"/>
      <c r="AB618" s="11"/>
      <c r="AC618" s="11">
        <v>63</v>
      </c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>
        <v>63</v>
      </c>
      <c r="AT618" s="11"/>
      <c r="AU618" s="20" t="str">
        <f>HYPERLINK("http://www.openstreetmap.org/?mlat=35.773&amp;mlon=42.7778&amp;zoom=12#map=12/35.773/42.7778","Maplink1")</f>
        <v>Maplink1</v>
      </c>
      <c r="AV618" s="20" t="str">
        <f>HYPERLINK("https://www.google.iq/maps/search/+35.773,42.7778/@35.773,42.7778,14z?hl=en","Maplink2")</f>
        <v>Maplink2</v>
      </c>
      <c r="AW618" s="20" t="str">
        <f>HYPERLINK("http://www.bing.com/maps/?lvl=14&amp;sty=h&amp;cp=35.773~42.7778&amp;sp=point.35.773_42.7778","Maplink3")</f>
        <v>Maplink3</v>
      </c>
    </row>
    <row r="619" spans="1:49" s="19" customFormat="1" x14ac:dyDescent="0.25">
      <c r="A619" s="9">
        <v>33171</v>
      </c>
      <c r="B619" s="10" t="s">
        <v>20</v>
      </c>
      <c r="C619" s="10" t="s">
        <v>998</v>
      </c>
      <c r="D619" s="10" t="s">
        <v>1758</v>
      </c>
      <c r="E619" s="10" t="s">
        <v>1759</v>
      </c>
      <c r="F619" s="10">
        <v>35.850791000000001</v>
      </c>
      <c r="G619" s="10">
        <v>42.976131000000002</v>
      </c>
      <c r="H619" s="11">
        <v>10</v>
      </c>
      <c r="I619" s="11">
        <v>60</v>
      </c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>
        <v>10</v>
      </c>
      <c r="W619" s="11"/>
      <c r="X619" s="11"/>
      <c r="Y619" s="11"/>
      <c r="Z619" s="11"/>
      <c r="AA619" s="11"/>
      <c r="AB619" s="11"/>
      <c r="AC619" s="11">
        <v>10</v>
      </c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>
        <v>10</v>
      </c>
      <c r="AT619" s="11"/>
      <c r="AU619" s="20" t="str">
        <f>HYPERLINK("http://www.openstreetmap.org/?mlat=35.8508&amp;mlon=42.9761&amp;zoom=12#map=12/35.8508/42.9761","Maplink1")</f>
        <v>Maplink1</v>
      </c>
      <c r="AV619" s="20" t="str">
        <f>HYPERLINK("https://www.google.iq/maps/search/+35.8508,42.9761/@35.8508,42.9761,14z?hl=en","Maplink2")</f>
        <v>Maplink2</v>
      </c>
      <c r="AW619" s="20" t="str">
        <f>HYPERLINK("http://www.bing.com/maps/?lvl=14&amp;sty=h&amp;cp=35.8508~42.9761&amp;sp=point.35.8508_42.9761","Maplink3")</f>
        <v>Maplink3</v>
      </c>
    </row>
    <row r="620" spans="1:49" s="19" customFormat="1" x14ac:dyDescent="0.25">
      <c r="A620" s="9">
        <v>33165</v>
      </c>
      <c r="B620" s="10" t="s">
        <v>20</v>
      </c>
      <c r="C620" s="10" t="s">
        <v>998</v>
      </c>
      <c r="D620" s="10" t="s">
        <v>1760</v>
      </c>
      <c r="E620" s="10" t="s">
        <v>1761</v>
      </c>
      <c r="F620" s="10">
        <v>35.658655000000003</v>
      </c>
      <c r="G620" s="10">
        <v>42.980373</v>
      </c>
      <c r="H620" s="11">
        <v>14</v>
      </c>
      <c r="I620" s="11">
        <v>84</v>
      </c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>
        <v>14</v>
      </c>
      <c r="Y620" s="11"/>
      <c r="Z620" s="11"/>
      <c r="AA620" s="11"/>
      <c r="AB620" s="11"/>
      <c r="AC620" s="11">
        <v>14</v>
      </c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>
        <v>14</v>
      </c>
      <c r="AS620" s="11"/>
      <c r="AT620" s="11"/>
      <c r="AU620" s="20" t="str">
        <f>HYPERLINK("http://www.openstreetmap.org/?mlat=35.6587&amp;mlon=42.9804&amp;zoom=12#map=12/35.6587/42.9804","Maplink1")</f>
        <v>Maplink1</v>
      </c>
      <c r="AV620" s="20" t="str">
        <f>HYPERLINK("https://www.google.iq/maps/search/+35.6587,42.9804/@35.6587,42.9804,14z?hl=en","Maplink2")</f>
        <v>Maplink2</v>
      </c>
      <c r="AW620" s="20" t="str">
        <f>HYPERLINK("http://www.bing.com/maps/?lvl=14&amp;sty=h&amp;cp=35.6587~42.9804&amp;sp=point.35.6587_42.9804","Maplink3")</f>
        <v>Maplink3</v>
      </c>
    </row>
    <row r="621" spans="1:49" s="19" customFormat="1" x14ac:dyDescent="0.25">
      <c r="A621" s="9">
        <v>33160</v>
      </c>
      <c r="B621" s="10" t="s">
        <v>20</v>
      </c>
      <c r="C621" s="10" t="s">
        <v>998</v>
      </c>
      <c r="D621" s="10" t="s">
        <v>1762</v>
      </c>
      <c r="E621" s="10" t="s">
        <v>1315</v>
      </c>
      <c r="F621" s="10">
        <v>35.836801000000001</v>
      </c>
      <c r="G621" s="10">
        <v>43.016786000000003</v>
      </c>
      <c r="H621" s="11">
        <v>25</v>
      </c>
      <c r="I621" s="11">
        <v>150</v>
      </c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>
        <v>5</v>
      </c>
      <c r="W621" s="11"/>
      <c r="X621" s="11">
        <v>20</v>
      </c>
      <c r="Y621" s="11"/>
      <c r="Z621" s="11"/>
      <c r="AA621" s="11"/>
      <c r="AB621" s="11"/>
      <c r="AC621" s="11">
        <v>25</v>
      </c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>
        <v>25</v>
      </c>
      <c r="AT621" s="11"/>
      <c r="AU621" s="20" t="str">
        <f>HYPERLINK("http://www.openstreetmap.org/?mlat=35.8368&amp;mlon=43.0168&amp;zoom=12#map=12/35.8368/43.0168","Maplink1")</f>
        <v>Maplink1</v>
      </c>
      <c r="AV621" s="20" t="str">
        <f>HYPERLINK("https://www.google.iq/maps/search/+35.8368,43.0168/@35.8368,43.0168,14z?hl=en","Maplink2")</f>
        <v>Maplink2</v>
      </c>
      <c r="AW621" s="20" t="str">
        <f>HYPERLINK("http://www.bing.com/maps/?lvl=14&amp;sty=h&amp;cp=35.8368~43.0168&amp;sp=point.35.8368_43.0168","Maplink3")</f>
        <v>Maplink3</v>
      </c>
    </row>
    <row r="622" spans="1:49" s="19" customFormat="1" x14ac:dyDescent="0.25">
      <c r="A622" s="9">
        <v>33161</v>
      </c>
      <c r="B622" s="10" t="s">
        <v>20</v>
      </c>
      <c r="C622" s="10" t="s">
        <v>998</v>
      </c>
      <c r="D622" s="10" t="s">
        <v>1763</v>
      </c>
      <c r="E622" s="10" t="s">
        <v>1764</v>
      </c>
      <c r="F622" s="10">
        <v>35.837018999999998</v>
      </c>
      <c r="G622" s="10">
        <v>43.001691000000001</v>
      </c>
      <c r="H622" s="11">
        <v>25</v>
      </c>
      <c r="I622" s="11">
        <v>150</v>
      </c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>
        <v>15</v>
      </c>
      <c r="W622" s="11"/>
      <c r="X622" s="11">
        <v>10</v>
      </c>
      <c r="Y622" s="11"/>
      <c r="Z622" s="11"/>
      <c r="AA622" s="11"/>
      <c r="AB622" s="11"/>
      <c r="AC622" s="11">
        <v>25</v>
      </c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>
        <v>25</v>
      </c>
      <c r="AT622" s="11"/>
      <c r="AU622" s="20" t="str">
        <f>HYPERLINK("http://www.openstreetmap.org/?mlat=35.837&amp;mlon=43.0017&amp;zoom=12#map=12/35.837/43.0017","Maplink1")</f>
        <v>Maplink1</v>
      </c>
      <c r="AV622" s="20" t="str">
        <f>HYPERLINK("https://www.google.iq/maps/search/+35.837,43.0017/@35.837,43.0017,14z?hl=en","Maplink2")</f>
        <v>Maplink2</v>
      </c>
      <c r="AW622" s="20" t="str">
        <f>HYPERLINK("http://www.bing.com/maps/?lvl=14&amp;sty=h&amp;cp=35.837~43.0017&amp;sp=point.35.837_43.0017","Maplink3")</f>
        <v>Maplink3</v>
      </c>
    </row>
    <row r="623" spans="1:49" s="19" customFormat="1" x14ac:dyDescent="0.25">
      <c r="A623" s="9">
        <v>33197</v>
      </c>
      <c r="B623" s="10" t="s">
        <v>20</v>
      </c>
      <c r="C623" s="10" t="s">
        <v>998</v>
      </c>
      <c r="D623" s="10" t="s">
        <v>1926</v>
      </c>
      <c r="E623" s="10" t="s">
        <v>1927</v>
      </c>
      <c r="F623" s="10">
        <v>35.835171000000003</v>
      </c>
      <c r="G623" s="10">
        <v>42.844743999999999</v>
      </c>
      <c r="H623" s="11">
        <v>65</v>
      </c>
      <c r="I623" s="11">
        <v>390</v>
      </c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>
        <v>65</v>
      </c>
      <c r="W623" s="11"/>
      <c r="X623" s="11"/>
      <c r="Y623" s="11"/>
      <c r="Z623" s="11"/>
      <c r="AA623" s="11"/>
      <c r="AB623" s="11"/>
      <c r="AC623" s="11">
        <v>65</v>
      </c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>
        <v>65</v>
      </c>
      <c r="AT623" s="11"/>
      <c r="AU623" s="20" t="str">
        <f>HYPERLINK("http://www.openstreetmap.org/?mlat=35.8352&amp;mlon=42.8447&amp;zoom=12#map=12/35.8352/42.8447","Maplink1")</f>
        <v>Maplink1</v>
      </c>
      <c r="AV623" s="20" t="str">
        <f>HYPERLINK("https://www.google.iq/maps/search/+35.8352,42.8447/@35.8352,42.8447,14z?hl=en","Maplink2")</f>
        <v>Maplink2</v>
      </c>
      <c r="AW623" s="20" t="str">
        <f>HYPERLINK("http://www.bing.com/maps/?lvl=14&amp;sty=h&amp;cp=35.8352~42.8447&amp;sp=point.35.8352_42.8447","Maplink3")</f>
        <v>Maplink3</v>
      </c>
    </row>
    <row r="624" spans="1:49" s="19" customFormat="1" x14ac:dyDescent="0.25">
      <c r="A624" s="9">
        <v>33194</v>
      </c>
      <c r="B624" s="10" t="s">
        <v>20</v>
      </c>
      <c r="C624" s="10" t="s">
        <v>998</v>
      </c>
      <c r="D624" s="10" t="s">
        <v>1928</v>
      </c>
      <c r="E624" s="10" t="s">
        <v>1929</v>
      </c>
      <c r="F624" s="10">
        <v>35.843725999999997</v>
      </c>
      <c r="G624" s="10">
        <v>42.867229000000002</v>
      </c>
      <c r="H624" s="11">
        <v>35</v>
      </c>
      <c r="I624" s="11">
        <v>210</v>
      </c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>
        <v>35</v>
      </c>
      <c r="W624" s="11"/>
      <c r="X624" s="11"/>
      <c r="Y624" s="11"/>
      <c r="Z624" s="11"/>
      <c r="AA624" s="11"/>
      <c r="AB624" s="11"/>
      <c r="AC624" s="11">
        <v>35</v>
      </c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>
        <v>35</v>
      </c>
      <c r="AT624" s="11"/>
      <c r="AU624" s="20" t="str">
        <f>HYPERLINK("http://www.openstreetmap.org/?mlat=35.8437&amp;mlon=42.8672&amp;zoom=12#map=12/35.8437/42.8672","Maplink1")</f>
        <v>Maplink1</v>
      </c>
      <c r="AV624" s="20" t="str">
        <f>HYPERLINK("https://www.google.iq/maps/search/+35.8437,42.8672/@35.8437,42.8672,14z?hl=en","Maplink2")</f>
        <v>Maplink2</v>
      </c>
      <c r="AW624" s="20" t="str">
        <f>HYPERLINK("http://www.bing.com/maps/?lvl=14&amp;sty=h&amp;cp=35.8437~42.8672&amp;sp=point.35.8437_42.8672","Maplink3")</f>
        <v>Maplink3</v>
      </c>
    </row>
    <row r="625" spans="1:49" s="19" customFormat="1" x14ac:dyDescent="0.25">
      <c r="A625" s="9">
        <v>33195</v>
      </c>
      <c r="B625" s="10" t="s">
        <v>20</v>
      </c>
      <c r="C625" s="10" t="s">
        <v>998</v>
      </c>
      <c r="D625" s="10" t="s">
        <v>1930</v>
      </c>
      <c r="E625" s="10" t="s">
        <v>1931</v>
      </c>
      <c r="F625" s="10">
        <v>35.869880999999999</v>
      </c>
      <c r="G625" s="10">
        <v>42.922797000000003</v>
      </c>
      <c r="H625" s="11">
        <v>15</v>
      </c>
      <c r="I625" s="11">
        <v>90</v>
      </c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>
        <v>15</v>
      </c>
      <c r="W625" s="11"/>
      <c r="X625" s="11"/>
      <c r="Y625" s="11"/>
      <c r="Z625" s="11"/>
      <c r="AA625" s="11"/>
      <c r="AB625" s="11"/>
      <c r="AC625" s="11">
        <v>15</v>
      </c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>
        <v>15</v>
      </c>
      <c r="AT625" s="11"/>
      <c r="AU625" s="20" t="str">
        <f>HYPERLINK("http://www.openstreetmap.org/?mlat=35.8699&amp;mlon=42.9228&amp;zoom=12#map=12/35.8699/42.9228","Maplink1")</f>
        <v>Maplink1</v>
      </c>
      <c r="AV625" s="20" t="str">
        <f>HYPERLINK("https://www.google.iq/maps/search/+35.8699,42.9228/@35.8699,42.9228,14z?hl=en","Maplink2")</f>
        <v>Maplink2</v>
      </c>
      <c r="AW625" s="20" t="str">
        <f>HYPERLINK("http://www.bing.com/maps/?lvl=14&amp;sty=h&amp;cp=35.8699~42.9228&amp;sp=point.35.8699_42.9228","Maplink3")</f>
        <v>Maplink3</v>
      </c>
    </row>
    <row r="626" spans="1:49" s="19" customFormat="1" x14ac:dyDescent="0.25">
      <c r="A626" s="9">
        <v>32084</v>
      </c>
      <c r="B626" s="10" t="s">
        <v>20</v>
      </c>
      <c r="C626" s="10" t="s">
        <v>998</v>
      </c>
      <c r="D626" s="10" t="s">
        <v>999</v>
      </c>
      <c r="E626" s="10" t="s">
        <v>1000</v>
      </c>
      <c r="F626" s="10">
        <v>35.874977000000001</v>
      </c>
      <c r="G626" s="10">
        <v>42.878827000000001</v>
      </c>
      <c r="H626" s="11">
        <v>80</v>
      </c>
      <c r="I626" s="11">
        <v>480</v>
      </c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>
        <v>80</v>
      </c>
      <c r="W626" s="11"/>
      <c r="X626" s="11"/>
      <c r="Y626" s="11"/>
      <c r="Z626" s="11"/>
      <c r="AA626" s="11"/>
      <c r="AB626" s="11"/>
      <c r="AC626" s="11">
        <v>80</v>
      </c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>
        <v>80</v>
      </c>
      <c r="AT626" s="11"/>
      <c r="AU626" s="20" t="str">
        <f>HYPERLINK("http://www.openstreetmap.org/?mlat=35.875&amp;mlon=42.8788&amp;zoom=12#map=12/35.875/42.8788","Maplink1")</f>
        <v>Maplink1</v>
      </c>
      <c r="AV626" s="20" t="str">
        <f>HYPERLINK("https://www.google.iq/maps/search/+35.875,42.8788/@35.875,42.8788,14z?hl=en","Maplink2")</f>
        <v>Maplink2</v>
      </c>
      <c r="AW626" s="20" t="str">
        <f>HYPERLINK("http://www.bing.com/maps/?lvl=14&amp;sty=h&amp;cp=35.875~42.8788&amp;sp=point.35.875_42.8788","Maplink3")</f>
        <v>Maplink3</v>
      </c>
    </row>
    <row r="627" spans="1:49" s="19" customFormat="1" x14ac:dyDescent="0.25">
      <c r="A627" s="9">
        <v>32058</v>
      </c>
      <c r="B627" s="10" t="s">
        <v>20</v>
      </c>
      <c r="C627" s="10" t="s">
        <v>998</v>
      </c>
      <c r="D627" s="10" t="s">
        <v>1001</v>
      </c>
      <c r="E627" s="10" t="s">
        <v>1002</v>
      </c>
      <c r="F627" s="10">
        <v>35.878529999999998</v>
      </c>
      <c r="G627" s="10">
        <v>42.968119999999999</v>
      </c>
      <c r="H627" s="11">
        <v>15</v>
      </c>
      <c r="I627" s="11">
        <v>90</v>
      </c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>
        <v>15</v>
      </c>
      <c r="W627" s="11"/>
      <c r="X627" s="11"/>
      <c r="Y627" s="11"/>
      <c r="Z627" s="11"/>
      <c r="AA627" s="11"/>
      <c r="AB627" s="11"/>
      <c r="AC627" s="11"/>
      <c r="AD627" s="11">
        <v>15</v>
      </c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>
        <v>15</v>
      </c>
      <c r="AT627" s="11"/>
      <c r="AU627" s="20" t="str">
        <f>HYPERLINK("http://www.openstreetmap.org/?mlat=35.8785&amp;mlon=42.9681&amp;zoom=12#map=12/35.8785/42.9681","Maplink1")</f>
        <v>Maplink1</v>
      </c>
      <c r="AV627" s="20" t="str">
        <f>HYPERLINK("https://www.google.iq/maps/search/+35.8785,42.9681/@35.8785,42.9681,14z?hl=en","Maplink2")</f>
        <v>Maplink2</v>
      </c>
      <c r="AW627" s="20" t="str">
        <f>HYPERLINK("http://www.bing.com/maps/?lvl=14&amp;sty=h&amp;cp=35.8785~42.9681&amp;sp=point.35.8785_42.9681","Maplink3")</f>
        <v>Maplink3</v>
      </c>
    </row>
    <row r="628" spans="1:49" s="19" customFormat="1" x14ac:dyDescent="0.25">
      <c r="A628" s="9">
        <v>33170</v>
      </c>
      <c r="B628" s="10" t="s">
        <v>20</v>
      </c>
      <c r="C628" s="10" t="s">
        <v>998</v>
      </c>
      <c r="D628" s="10" t="s">
        <v>1765</v>
      </c>
      <c r="E628" s="10" t="s">
        <v>1766</v>
      </c>
      <c r="F628" s="10">
        <v>35.830390999999999</v>
      </c>
      <c r="G628" s="10">
        <v>43.036377999999999</v>
      </c>
      <c r="H628" s="11">
        <v>7</v>
      </c>
      <c r="I628" s="11">
        <v>42</v>
      </c>
      <c r="J628" s="11"/>
      <c r="K628" s="11"/>
      <c r="L628" s="11"/>
      <c r="M628" s="11"/>
      <c r="N628" s="11"/>
      <c r="O628" s="11"/>
      <c r="P628" s="11"/>
      <c r="Q628" s="11"/>
      <c r="R628" s="11">
        <v>7</v>
      </c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>
        <v>7</v>
      </c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>
        <v>7</v>
      </c>
      <c r="AT628" s="11"/>
      <c r="AU628" s="20" t="str">
        <f>HYPERLINK("http://www.openstreetmap.org/?mlat=35.8304&amp;mlon=43.0364&amp;zoom=12#map=12/35.8304/43.0364","Maplink1")</f>
        <v>Maplink1</v>
      </c>
      <c r="AV628" s="20" t="str">
        <f>HYPERLINK("https://www.google.iq/maps/search/+35.8304,43.0364/@35.8304,43.0364,14z?hl=en","Maplink2")</f>
        <v>Maplink2</v>
      </c>
      <c r="AW628" s="20" t="str">
        <f>HYPERLINK("http://www.bing.com/maps/?lvl=14&amp;sty=h&amp;cp=35.8304~43.0364&amp;sp=point.35.8304_43.0364","Maplink3")</f>
        <v>Maplink3</v>
      </c>
    </row>
    <row r="629" spans="1:49" s="19" customFormat="1" x14ac:dyDescent="0.25">
      <c r="A629" s="9">
        <v>33117</v>
      </c>
      <c r="B629" s="10" t="s">
        <v>20</v>
      </c>
      <c r="C629" s="10" t="s">
        <v>998</v>
      </c>
      <c r="D629" s="10" t="s">
        <v>1613</v>
      </c>
      <c r="E629" s="10" t="s">
        <v>1614</v>
      </c>
      <c r="F629" s="10">
        <v>35.076609599999998</v>
      </c>
      <c r="G629" s="10">
        <v>42.973686000000001</v>
      </c>
      <c r="H629" s="11">
        <v>68</v>
      </c>
      <c r="I629" s="11">
        <v>408</v>
      </c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>
        <v>68</v>
      </c>
      <c r="Y629" s="11"/>
      <c r="Z629" s="11"/>
      <c r="AA629" s="11"/>
      <c r="AB629" s="11"/>
      <c r="AC629" s="11">
        <v>68</v>
      </c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>
        <v>68</v>
      </c>
      <c r="AS629" s="11"/>
      <c r="AT629" s="11"/>
      <c r="AU629" s="20" t="str">
        <f>HYPERLINK("http://www.openstreetmap.org/?mlat=35.0766&amp;mlon=42.9737&amp;zoom=12#map=12/35.0766/42.9737","Maplink1")</f>
        <v>Maplink1</v>
      </c>
      <c r="AV629" s="20" t="str">
        <f>HYPERLINK("https://www.google.iq/maps/search/+35.0766,42.9737/@35.0766,42.9737,14z?hl=en","Maplink2")</f>
        <v>Maplink2</v>
      </c>
      <c r="AW629" s="20" t="str">
        <f>HYPERLINK("http://www.bing.com/maps/?lvl=14&amp;sty=h&amp;cp=35.0766~42.9737&amp;sp=point.35.0766_42.9737","Maplink3")</f>
        <v>Maplink3</v>
      </c>
    </row>
    <row r="630" spans="1:49" s="19" customFormat="1" x14ac:dyDescent="0.25">
      <c r="A630" s="9">
        <v>33116</v>
      </c>
      <c r="B630" s="10" t="s">
        <v>20</v>
      </c>
      <c r="C630" s="10" t="s">
        <v>998</v>
      </c>
      <c r="D630" s="10" t="s">
        <v>1615</v>
      </c>
      <c r="E630" s="10" t="s">
        <v>1616</v>
      </c>
      <c r="F630" s="10">
        <v>35.772022999999997</v>
      </c>
      <c r="G630" s="10">
        <v>42.971243000000001</v>
      </c>
      <c r="H630" s="11">
        <v>17</v>
      </c>
      <c r="I630" s="11">
        <v>102</v>
      </c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>
        <v>17</v>
      </c>
      <c r="Y630" s="11"/>
      <c r="Z630" s="11"/>
      <c r="AA630" s="11"/>
      <c r="AB630" s="11"/>
      <c r="AC630" s="11">
        <v>17</v>
      </c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>
        <v>17</v>
      </c>
      <c r="AS630" s="11"/>
      <c r="AT630" s="11"/>
      <c r="AU630" s="20" t="str">
        <f>HYPERLINK("http://www.openstreetmap.org/?mlat=35.772&amp;mlon=42.9712&amp;zoom=12#map=12/35.772/42.9712","Maplink1")</f>
        <v>Maplink1</v>
      </c>
      <c r="AV630" s="20" t="str">
        <f>HYPERLINK("https://www.google.iq/maps/search/+35.772,42.9712/@35.772,42.9712,14z?hl=en","Maplink2")</f>
        <v>Maplink2</v>
      </c>
      <c r="AW630" s="20" t="str">
        <f>HYPERLINK("http://www.bing.com/maps/?lvl=14&amp;sty=h&amp;cp=35.772~42.9712&amp;sp=point.35.772_42.9712","Maplink3")</f>
        <v>Maplink3</v>
      </c>
    </row>
    <row r="631" spans="1:49" s="19" customFormat="1" x14ac:dyDescent="0.25">
      <c r="A631" s="9">
        <v>32083</v>
      </c>
      <c r="B631" s="10" t="s">
        <v>20</v>
      </c>
      <c r="C631" s="10" t="s">
        <v>998</v>
      </c>
      <c r="D631" s="10" t="s">
        <v>1003</v>
      </c>
      <c r="E631" s="10" t="s">
        <v>1004</v>
      </c>
      <c r="F631" s="10">
        <v>35.899493999999997</v>
      </c>
      <c r="G631" s="10">
        <v>42.885714999999998</v>
      </c>
      <c r="H631" s="11">
        <v>70</v>
      </c>
      <c r="I631" s="11">
        <v>420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>
        <v>70</v>
      </c>
      <c r="W631" s="11"/>
      <c r="X631" s="11"/>
      <c r="Y631" s="11"/>
      <c r="Z631" s="11"/>
      <c r="AA631" s="11"/>
      <c r="AB631" s="11"/>
      <c r="AC631" s="11">
        <v>70</v>
      </c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>
        <v>70</v>
      </c>
      <c r="AT631" s="11"/>
      <c r="AU631" s="20" t="str">
        <f>HYPERLINK("http://www.openstreetmap.org/?mlat=35.8995&amp;mlon=42.8857&amp;zoom=12#map=12/35.8995/42.8857","Maplink1")</f>
        <v>Maplink1</v>
      </c>
      <c r="AV631" s="20" t="str">
        <f>HYPERLINK("https://www.google.iq/maps/search/+35.8995,42.8857/@35.8995,42.8857,14z?hl=en","Maplink2")</f>
        <v>Maplink2</v>
      </c>
      <c r="AW631" s="20" t="str">
        <f>HYPERLINK("http://www.bing.com/maps/?lvl=14&amp;sty=h&amp;cp=35.8995~42.8857&amp;sp=point.35.8995_42.8857","Maplink3")</f>
        <v>Maplink3</v>
      </c>
    </row>
    <row r="632" spans="1:49" s="19" customFormat="1" x14ac:dyDescent="0.25">
      <c r="A632" s="9">
        <v>33193</v>
      </c>
      <c r="B632" s="10" t="s">
        <v>20</v>
      </c>
      <c r="C632" s="10" t="s">
        <v>998</v>
      </c>
      <c r="D632" s="10" t="s">
        <v>1932</v>
      </c>
      <c r="E632" s="10" t="s">
        <v>1933</v>
      </c>
      <c r="F632" s="10">
        <v>35.854686999999998</v>
      </c>
      <c r="G632" s="10">
        <v>42.894362000000001</v>
      </c>
      <c r="H632" s="11">
        <v>16</v>
      </c>
      <c r="I632" s="11">
        <v>96</v>
      </c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>
        <v>16</v>
      </c>
      <c r="W632" s="11"/>
      <c r="X632" s="11"/>
      <c r="Y632" s="11"/>
      <c r="Z632" s="11"/>
      <c r="AA632" s="11"/>
      <c r="AB632" s="11"/>
      <c r="AC632" s="11">
        <v>16</v>
      </c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>
        <v>16</v>
      </c>
      <c r="AT632" s="11"/>
      <c r="AU632" s="20" t="str">
        <f>HYPERLINK("http://www.openstreetmap.org/?mlat=35.8547&amp;mlon=42.8944&amp;zoom=12#map=12/35.8547/42.8944","Maplink1")</f>
        <v>Maplink1</v>
      </c>
      <c r="AV632" s="20" t="str">
        <f>HYPERLINK("https://www.google.iq/maps/search/+35.8547,42.8944/@35.8547,42.8944,14z?hl=en","Maplink2")</f>
        <v>Maplink2</v>
      </c>
      <c r="AW632" s="20" t="str">
        <f>HYPERLINK("http://www.bing.com/maps/?lvl=14&amp;sty=h&amp;cp=35.8547~42.8944&amp;sp=point.35.8547_42.8944","Maplink3")</f>
        <v>Maplink3</v>
      </c>
    </row>
    <row r="633" spans="1:49" s="19" customFormat="1" x14ac:dyDescent="0.25">
      <c r="A633" s="9">
        <v>33164</v>
      </c>
      <c r="B633" s="10" t="s">
        <v>20</v>
      </c>
      <c r="C633" s="10" t="s">
        <v>998</v>
      </c>
      <c r="D633" s="10" t="s">
        <v>1767</v>
      </c>
      <c r="E633" s="10" t="s">
        <v>1768</v>
      </c>
      <c r="F633" s="10">
        <v>35.619075000000002</v>
      </c>
      <c r="G633" s="10">
        <v>42.989463999999998</v>
      </c>
      <c r="H633" s="11">
        <v>28</v>
      </c>
      <c r="I633" s="11">
        <v>168</v>
      </c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>
        <v>28</v>
      </c>
      <c r="Y633" s="11"/>
      <c r="Z633" s="11"/>
      <c r="AA633" s="11"/>
      <c r="AB633" s="11"/>
      <c r="AC633" s="11">
        <v>28</v>
      </c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>
        <v>28</v>
      </c>
      <c r="AS633" s="11"/>
      <c r="AT633" s="11"/>
      <c r="AU633" s="20" t="str">
        <f>HYPERLINK("http://www.openstreetmap.org/?mlat=35.6191&amp;mlon=42.9895&amp;zoom=12#map=12/35.6191/42.9895","Maplink1")</f>
        <v>Maplink1</v>
      </c>
      <c r="AV633" s="20" t="str">
        <f>HYPERLINK("https://www.google.iq/maps/search/+35.6191,42.9895/@35.6191,42.9895,14z?hl=en","Maplink2")</f>
        <v>Maplink2</v>
      </c>
      <c r="AW633" s="20" t="str">
        <f>HYPERLINK("http://www.bing.com/maps/?lvl=14&amp;sty=h&amp;cp=35.6191~42.9895&amp;sp=point.35.6191_42.9895","Maplink3")</f>
        <v>Maplink3</v>
      </c>
    </row>
    <row r="634" spans="1:49" s="19" customFormat="1" x14ac:dyDescent="0.25">
      <c r="A634" s="9">
        <v>27271</v>
      </c>
      <c r="B634" s="10" t="s">
        <v>20</v>
      </c>
      <c r="C634" s="10" t="s">
        <v>998</v>
      </c>
      <c r="D634" s="10" t="s">
        <v>2141</v>
      </c>
      <c r="E634" s="10" t="s">
        <v>2142</v>
      </c>
      <c r="F634" s="10">
        <v>35.946116000000004</v>
      </c>
      <c r="G634" s="10">
        <v>42.564549</v>
      </c>
      <c r="H634" s="11">
        <v>600</v>
      </c>
      <c r="I634" s="11">
        <v>3600</v>
      </c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>
        <v>600</v>
      </c>
      <c r="W634" s="11"/>
      <c r="X634" s="11"/>
      <c r="Y634" s="11"/>
      <c r="Z634" s="11"/>
      <c r="AA634" s="11"/>
      <c r="AB634" s="11"/>
      <c r="AC634" s="11">
        <v>600</v>
      </c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>
        <v>600</v>
      </c>
      <c r="AT634" s="11"/>
      <c r="AU634" s="20" t="str">
        <f>HYPERLINK("http://www.openstreetmap.org/?mlat=35.9461&amp;mlon=42.5645&amp;zoom=12#map=12/35.9461/42.5645","Maplink1")</f>
        <v>Maplink1</v>
      </c>
      <c r="AV634" s="20" t="str">
        <f>HYPERLINK("https://www.google.iq/maps/search/+35.9461,42.5645/@35.9461,42.5645,14z?hl=en","Maplink2")</f>
        <v>Maplink2</v>
      </c>
      <c r="AW634" s="20" t="str">
        <f>HYPERLINK("http://www.bing.com/maps/?lvl=14&amp;sty=h&amp;cp=35.9461~42.5645&amp;sp=point.35.9461_42.5645","Maplink3")</f>
        <v>Maplink3</v>
      </c>
    </row>
    <row r="635" spans="1:49" s="19" customFormat="1" x14ac:dyDescent="0.25">
      <c r="A635" s="9">
        <v>33231</v>
      </c>
      <c r="B635" s="10" t="s">
        <v>20</v>
      </c>
      <c r="C635" s="10" t="s">
        <v>998</v>
      </c>
      <c r="D635" s="10" t="s">
        <v>2143</v>
      </c>
      <c r="E635" s="10" t="s">
        <v>2144</v>
      </c>
      <c r="F635" s="10">
        <v>35.862017000000002</v>
      </c>
      <c r="G635" s="10">
        <v>42.722095000000003</v>
      </c>
      <c r="H635" s="11">
        <v>33</v>
      </c>
      <c r="I635" s="11">
        <v>198</v>
      </c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>
        <v>33</v>
      </c>
      <c r="W635" s="11"/>
      <c r="X635" s="11"/>
      <c r="Y635" s="11"/>
      <c r="Z635" s="11"/>
      <c r="AA635" s="11"/>
      <c r="AB635" s="11"/>
      <c r="AC635" s="11">
        <v>33</v>
      </c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>
        <v>33</v>
      </c>
      <c r="AT635" s="11"/>
      <c r="AU635" s="20" t="str">
        <f>HYPERLINK("http://www.openstreetmap.org/?mlat=35.862&amp;mlon=42.7221&amp;zoom=12#map=12/35.862/42.7221","Maplink1")</f>
        <v>Maplink1</v>
      </c>
      <c r="AV635" s="20" t="str">
        <f>HYPERLINK("https://www.google.iq/maps/search/+35.862,42.7221/@35.862,42.7221,14z?hl=en","Maplink2")</f>
        <v>Maplink2</v>
      </c>
      <c r="AW635" s="20" t="str">
        <f>HYPERLINK("http://www.bing.com/maps/?lvl=14&amp;sty=h&amp;cp=35.862~42.7221&amp;sp=point.35.862_42.7221","Maplink3")</f>
        <v>Maplink3</v>
      </c>
    </row>
    <row r="636" spans="1:49" s="19" customFormat="1" x14ac:dyDescent="0.25">
      <c r="A636" s="9">
        <v>33233</v>
      </c>
      <c r="B636" s="10" t="s">
        <v>20</v>
      </c>
      <c r="C636" s="10" t="s">
        <v>998</v>
      </c>
      <c r="D636" s="10" t="s">
        <v>2145</v>
      </c>
      <c r="E636" s="10" t="s">
        <v>2146</v>
      </c>
      <c r="F636" s="10">
        <v>35.891464999999997</v>
      </c>
      <c r="G636" s="10">
        <v>42.75667</v>
      </c>
      <c r="H636" s="11">
        <v>7</v>
      </c>
      <c r="I636" s="11">
        <v>42</v>
      </c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>
        <v>7</v>
      </c>
      <c r="W636" s="11"/>
      <c r="X636" s="11"/>
      <c r="Y636" s="11"/>
      <c r="Z636" s="11"/>
      <c r="AA636" s="11"/>
      <c r="AB636" s="11"/>
      <c r="AC636" s="11">
        <v>7</v>
      </c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>
        <v>7</v>
      </c>
      <c r="AT636" s="11"/>
      <c r="AU636" s="20" t="str">
        <f>HYPERLINK("http://www.openstreetmap.org/?mlat=35.8915&amp;mlon=42.7567&amp;zoom=12#map=12/35.8915/42.7567","Maplink1")</f>
        <v>Maplink1</v>
      </c>
      <c r="AV636" s="20" t="str">
        <f>HYPERLINK("https://www.google.iq/maps/search/+35.8915,42.7567/@35.8915,42.7567,14z?hl=en","Maplink2")</f>
        <v>Maplink2</v>
      </c>
      <c r="AW636" s="20" t="str">
        <f>HYPERLINK("http://www.bing.com/maps/?lvl=14&amp;sty=h&amp;cp=35.8915~42.7567&amp;sp=point.35.8915_42.7567","Maplink3")</f>
        <v>Maplink3</v>
      </c>
    </row>
    <row r="637" spans="1:49" s="19" customFormat="1" x14ac:dyDescent="0.25">
      <c r="A637" s="9">
        <v>33115</v>
      </c>
      <c r="B637" s="10" t="s">
        <v>20</v>
      </c>
      <c r="C637" s="10" t="s">
        <v>998</v>
      </c>
      <c r="D637" s="10" t="s">
        <v>1617</v>
      </c>
      <c r="E637" s="10" t="s">
        <v>1618</v>
      </c>
      <c r="F637" s="10">
        <v>35.811779000000001</v>
      </c>
      <c r="G637" s="10">
        <v>43.029756999999996</v>
      </c>
      <c r="H637" s="11">
        <v>38</v>
      </c>
      <c r="I637" s="11">
        <v>228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>
        <v>23</v>
      </c>
      <c r="W637" s="11"/>
      <c r="X637" s="11">
        <v>15</v>
      </c>
      <c r="Y637" s="11"/>
      <c r="Z637" s="11"/>
      <c r="AA637" s="11"/>
      <c r="AB637" s="11"/>
      <c r="AC637" s="11">
        <v>38</v>
      </c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>
        <v>38</v>
      </c>
      <c r="AS637" s="11"/>
      <c r="AT637" s="11"/>
      <c r="AU637" s="20" t="str">
        <f>HYPERLINK("http://www.openstreetmap.org/?mlat=35.8118&amp;mlon=43.0298&amp;zoom=12#map=12/35.8118/43.0298","Maplink1")</f>
        <v>Maplink1</v>
      </c>
      <c r="AV637" s="20" t="str">
        <f>HYPERLINK("https://www.google.iq/maps/search/+35.8118,43.0298/@35.8118,43.0298,14z?hl=en","Maplink2")</f>
        <v>Maplink2</v>
      </c>
      <c r="AW637" s="20" t="str">
        <f>HYPERLINK("http://www.bing.com/maps/?lvl=14&amp;sty=h&amp;cp=35.8118~43.0298&amp;sp=point.35.8118_43.0298","Maplink3")</f>
        <v>Maplink3</v>
      </c>
    </row>
    <row r="638" spans="1:49" s="19" customFormat="1" x14ac:dyDescent="0.25">
      <c r="A638" s="9">
        <v>33169</v>
      </c>
      <c r="B638" s="10" t="s">
        <v>20</v>
      </c>
      <c r="C638" s="10" t="s">
        <v>1005</v>
      </c>
      <c r="D638" s="10" t="s">
        <v>1769</v>
      </c>
      <c r="E638" s="10" t="s">
        <v>1770</v>
      </c>
      <c r="F638" s="10">
        <v>36.445703000000002</v>
      </c>
      <c r="G638" s="10">
        <v>42.954045000000001</v>
      </c>
      <c r="H638" s="11">
        <v>100</v>
      </c>
      <c r="I638" s="11">
        <v>600</v>
      </c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>
        <v>100</v>
      </c>
      <c r="W638" s="11"/>
      <c r="X638" s="11"/>
      <c r="Y638" s="11"/>
      <c r="Z638" s="11"/>
      <c r="AA638" s="11"/>
      <c r="AB638" s="11"/>
      <c r="AC638" s="11">
        <v>100</v>
      </c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>
        <v>100</v>
      </c>
      <c r="AT638" s="11"/>
      <c r="AU638" s="20" t="str">
        <f>HYPERLINK("http://www.openstreetmap.org/?mlat=36.4457&amp;mlon=42.954&amp;zoom=12#map=12/36.4457/42.954","Maplink1")</f>
        <v>Maplink1</v>
      </c>
      <c r="AV638" s="20" t="str">
        <f>HYPERLINK("https://www.google.iq/maps/search/+36.4457,42.954/@36.4457,42.954,14z?hl=en","Maplink2")</f>
        <v>Maplink2</v>
      </c>
      <c r="AW638" s="20" t="str">
        <f>HYPERLINK("http://www.bing.com/maps/?lvl=14&amp;sty=h&amp;cp=36.4457~42.954&amp;sp=point.36.4457_42.954","Maplink3")</f>
        <v>Maplink3</v>
      </c>
    </row>
    <row r="639" spans="1:49" s="19" customFormat="1" x14ac:dyDescent="0.25">
      <c r="A639" s="9">
        <v>32051</v>
      </c>
      <c r="B639" s="10" t="s">
        <v>20</v>
      </c>
      <c r="C639" s="10" t="s">
        <v>1005</v>
      </c>
      <c r="D639" s="10" t="s">
        <v>1006</v>
      </c>
      <c r="E639" s="10" t="s">
        <v>1007</v>
      </c>
      <c r="F639" s="10">
        <v>36.184134999999998</v>
      </c>
      <c r="G639" s="10">
        <v>43.034812000000002</v>
      </c>
      <c r="H639" s="11">
        <v>20</v>
      </c>
      <c r="I639" s="11">
        <v>120</v>
      </c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>
        <v>20</v>
      </c>
      <c r="W639" s="11"/>
      <c r="X639" s="11"/>
      <c r="Y639" s="11"/>
      <c r="Z639" s="11"/>
      <c r="AA639" s="11"/>
      <c r="AB639" s="11"/>
      <c r="AC639" s="11">
        <v>20</v>
      </c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>
        <v>20</v>
      </c>
      <c r="AT639" s="11"/>
      <c r="AU639" s="20" t="str">
        <f>HYPERLINK("http://www.openstreetmap.org/?mlat=36.1841&amp;mlon=43.0348&amp;zoom=12#map=12/36.1841/43.0348","Maplink1")</f>
        <v>Maplink1</v>
      </c>
      <c r="AV639" s="20" t="str">
        <f>HYPERLINK("https://www.google.iq/maps/search/+36.1841,43.0348/@36.1841,43.0348,14z?hl=en","Maplink2")</f>
        <v>Maplink2</v>
      </c>
      <c r="AW639" s="20" t="str">
        <f>HYPERLINK("http://www.bing.com/maps/?lvl=14&amp;sty=h&amp;cp=36.1841~43.0348&amp;sp=point.36.1841_43.0348","Maplink3")</f>
        <v>Maplink3</v>
      </c>
    </row>
    <row r="640" spans="1:49" s="19" customFormat="1" x14ac:dyDescent="0.25">
      <c r="A640" s="9">
        <v>22215</v>
      </c>
      <c r="B640" s="10" t="s">
        <v>20</v>
      </c>
      <c r="C640" s="10" t="s">
        <v>1005</v>
      </c>
      <c r="D640" s="10" t="s">
        <v>1008</v>
      </c>
      <c r="E640" s="10" t="s">
        <v>1009</v>
      </c>
      <c r="F640" s="10">
        <v>36.411999999999999</v>
      </c>
      <c r="G640" s="10">
        <v>43.317500000000003</v>
      </c>
      <c r="H640" s="11">
        <v>793</v>
      </c>
      <c r="I640" s="11">
        <v>4758</v>
      </c>
      <c r="J640" s="11"/>
      <c r="K640" s="11"/>
      <c r="L640" s="11"/>
      <c r="M640" s="11">
        <v>2</v>
      </c>
      <c r="N640" s="11">
        <v>35</v>
      </c>
      <c r="O640" s="11"/>
      <c r="P640" s="11">
        <v>68</v>
      </c>
      <c r="Q640" s="11">
        <v>6</v>
      </c>
      <c r="R640" s="11"/>
      <c r="S640" s="11">
        <v>2</v>
      </c>
      <c r="T640" s="11"/>
      <c r="U640" s="11">
        <v>10</v>
      </c>
      <c r="V640" s="11">
        <v>670</v>
      </c>
      <c r="W640" s="11"/>
      <c r="X640" s="11"/>
      <c r="Y640" s="11"/>
      <c r="Z640" s="11"/>
      <c r="AA640" s="11"/>
      <c r="AB640" s="11"/>
      <c r="AC640" s="11">
        <v>793</v>
      </c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>
        <v>433</v>
      </c>
      <c r="AP640" s="11"/>
      <c r="AQ640" s="11"/>
      <c r="AR640" s="11"/>
      <c r="AS640" s="11">
        <v>360</v>
      </c>
      <c r="AT640" s="11"/>
      <c r="AU640" s="20" t="str">
        <f>HYPERLINK("http://www.openstreetmap.org/?mlat=36.412&amp;mlon=43.3175&amp;zoom=12#map=12/36.412/43.3175","Maplink1")</f>
        <v>Maplink1</v>
      </c>
      <c r="AV640" s="20" t="str">
        <f>HYPERLINK("https://www.google.iq/maps/search/+36.412,43.3175/@36.412,43.3175,14z?hl=en","Maplink2")</f>
        <v>Maplink2</v>
      </c>
      <c r="AW640" s="20" t="str">
        <f>HYPERLINK("http://www.bing.com/maps/?lvl=14&amp;sty=h&amp;cp=36.412~43.3175&amp;sp=point.36.412_43.3175","Maplink3")</f>
        <v>Maplink3</v>
      </c>
    </row>
    <row r="641" spans="1:49" s="19" customFormat="1" x14ac:dyDescent="0.25">
      <c r="A641" s="9">
        <v>33202</v>
      </c>
      <c r="B641" s="10" t="s">
        <v>20</v>
      </c>
      <c r="C641" s="10" t="s">
        <v>1005</v>
      </c>
      <c r="D641" s="10" t="s">
        <v>1934</v>
      </c>
      <c r="E641" s="10" t="s">
        <v>1935</v>
      </c>
      <c r="F641" s="10">
        <v>36.215060000000001</v>
      </c>
      <c r="G641" s="10">
        <v>42.833871000000002</v>
      </c>
      <c r="H641" s="11">
        <v>35</v>
      </c>
      <c r="I641" s="11">
        <v>210</v>
      </c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>
        <v>35</v>
      </c>
      <c r="W641" s="11"/>
      <c r="X641" s="11"/>
      <c r="Y641" s="11"/>
      <c r="Z641" s="11"/>
      <c r="AA641" s="11"/>
      <c r="AB641" s="11"/>
      <c r="AC641" s="11">
        <v>35</v>
      </c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>
        <v>35</v>
      </c>
      <c r="AT641" s="11"/>
      <c r="AU641" s="20" t="str">
        <f>HYPERLINK("http://www.openstreetmap.org/?mlat=36.2151&amp;mlon=42.8339&amp;zoom=12#map=12/36.2151/42.8339","Maplink1")</f>
        <v>Maplink1</v>
      </c>
      <c r="AV641" s="20" t="str">
        <f>HYPERLINK("https://www.google.iq/maps/search/+36.2151,42.8339/@36.2151,42.8339,14z?hl=en","Maplink2")</f>
        <v>Maplink2</v>
      </c>
      <c r="AW641" s="20" t="str">
        <f>HYPERLINK("http://www.bing.com/maps/?lvl=14&amp;sty=h&amp;cp=36.2151~42.8339&amp;sp=point.36.2151_42.8339","Maplink3")</f>
        <v>Maplink3</v>
      </c>
    </row>
    <row r="642" spans="1:49" s="19" customFormat="1" x14ac:dyDescent="0.25">
      <c r="A642" s="9">
        <v>31994</v>
      </c>
      <c r="B642" s="10" t="s">
        <v>20</v>
      </c>
      <c r="C642" s="10" t="s">
        <v>1005</v>
      </c>
      <c r="D642" s="10" t="s">
        <v>1010</v>
      </c>
      <c r="E642" s="10" t="s">
        <v>1011</v>
      </c>
      <c r="F642" s="10">
        <v>36.224800000000002</v>
      </c>
      <c r="G642" s="10">
        <v>43.160670000000003</v>
      </c>
      <c r="H642" s="11">
        <v>92</v>
      </c>
      <c r="I642" s="11">
        <v>552</v>
      </c>
      <c r="J642" s="11"/>
      <c r="K642" s="11"/>
      <c r="L642" s="11"/>
      <c r="M642" s="11"/>
      <c r="N642" s="11"/>
      <c r="O642" s="11"/>
      <c r="P642" s="11"/>
      <c r="Q642" s="11"/>
      <c r="R642" s="11">
        <v>8</v>
      </c>
      <c r="S642" s="11"/>
      <c r="T642" s="11"/>
      <c r="U642" s="11"/>
      <c r="V642" s="11">
        <v>80</v>
      </c>
      <c r="W642" s="11"/>
      <c r="X642" s="11"/>
      <c r="Y642" s="11">
        <v>4</v>
      </c>
      <c r="Z642" s="11"/>
      <c r="AA642" s="11"/>
      <c r="AB642" s="11"/>
      <c r="AC642" s="11">
        <v>92</v>
      </c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>
        <v>8</v>
      </c>
      <c r="AP642" s="11"/>
      <c r="AQ642" s="11"/>
      <c r="AR642" s="11"/>
      <c r="AS642" s="11">
        <v>84</v>
      </c>
      <c r="AT642" s="11"/>
      <c r="AU642" s="20" t="str">
        <f>HYPERLINK("http://www.openstreetmap.org/?mlat=36.2248&amp;mlon=43.1607&amp;zoom=12#map=12/36.2248/43.1607","Maplink1")</f>
        <v>Maplink1</v>
      </c>
      <c r="AV642" s="20" t="str">
        <f>HYPERLINK("https://www.google.iq/maps/search/+36.2248,43.1607/@36.2248,43.1607,14z?hl=en","Maplink2")</f>
        <v>Maplink2</v>
      </c>
      <c r="AW642" s="20" t="str">
        <f>HYPERLINK("http://www.bing.com/maps/?lvl=14&amp;sty=h&amp;cp=36.2248~43.1607&amp;sp=point.36.2248_43.1607","Maplink3")</f>
        <v>Maplink3</v>
      </c>
    </row>
    <row r="643" spans="1:49" s="19" customFormat="1" x14ac:dyDescent="0.25">
      <c r="A643" s="9">
        <v>17424</v>
      </c>
      <c r="B643" s="10" t="s">
        <v>20</v>
      </c>
      <c r="C643" s="10" t="s">
        <v>1005</v>
      </c>
      <c r="D643" s="10" t="s">
        <v>1771</v>
      </c>
      <c r="E643" s="10" t="s">
        <v>1772</v>
      </c>
      <c r="F643" s="10">
        <v>36.404403000000002</v>
      </c>
      <c r="G643" s="10">
        <v>42.976140999999998</v>
      </c>
      <c r="H643" s="11">
        <v>180</v>
      </c>
      <c r="I643" s="11">
        <v>1080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>
        <v>180</v>
      </c>
      <c r="W643" s="11"/>
      <c r="X643" s="11"/>
      <c r="Y643" s="11"/>
      <c r="Z643" s="11"/>
      <c r="AA643" s="11"/>
      <c r="AB643" s="11"/>
      <c r="AC643" s="11">
        <v>180</v>
      </c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>
        <v>180</v>
      </c>
      <c r="AT643" s="11"/>
      <c r="AU643" s="20" t="str">
        <f>HYPERLINK("http://www.openstreetmap.org/?mlat=36.4044&amp;mlon=42.9761&amp;zoom=12#map=12/36.4044/42.9761","Maplink1")</f>
        <v>Maplink1</v>
      </c>
      <c r="AV643" s="20" t="str">
        <f>HYPERLINK("https://www.google.iq/maps/search/+36.4044,42.9761/@36.4044,42.9761,14z?hl=en","Maplink2")</f>
        <v>Maplink2</v>
      </c>
      <c r="AW643" s="20" t="str">
        <f>HYPERLINK("http://www.bing.com/maps/?lvl=14&amp;sty=h&amp;cp=36.4044~42.9761&amp;sp=point.36.4044_42.9761","Maplink3")</f>
        <v>Maplink3</v>
      </c>
    </row>
    <row r="644" spans="1:49" s="19" customFormat="1" x14ac:dyDescent="0.25">
      <c r="A644" s="9">
        <v>25812</v>
      </c>
      <c r="B644" s="10" t="s">
        <v>20</v>
      </c>
      <c r="C644" s="10" t="s">
        <v>1005</v>
      </c>
      <c r="D644" s="10" t="s">
        <v>1012</v>
      </c>
      <c r="E644" s="10" t="s">
        <v>1013</v>
      </c>
      <c r="F644" s="10">
        <v>36.472342210000001</v>
      </c>
      <c r="G644" s="10">
        <v>43.435678600000003</v>
      </c>
      <c r="H644" s="11">
        <v>52</v>
      </c>
      <c r="I644" s="11">
        <v>312</v>
      </c>
      <c r="J644" s="11"/>
      <c r="K644" s="11"/>
      <c r="L644" s="11"/>
      <c r="M644" s="11"/>
      <c r="N644" s="11">
        <v>32</v>
      </c>
      <c r="O644" s="11"/>
      <c r="P644" s="11">
        <v>20</v>
      </c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>
        <v>52</v>
      </c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>
        <v>52</v>
      </c>
      <c r="AP644" s="11"/>
      <c r="AQ644" s="11"/>
      <c r="AR644" s="11"/>
      <c r="AS644" s="11"/>
      <c r="AT644" s="11"/>
      <c r="AU644" s="20" t="str">
        <f>HYPERLINK("http://www.openstreetmap.org/?mlat=36.4723&amp;mlon=43.4357&amp;zoom=12#map=12/36.4723/43.4357","Maplink1")</f>
        <v>Maplink1</v>
      </c>
      <c r="AV644" s="20" t="str">
        <f>HYPERLINK("https://www.google.iq/maps/search/+36.4723,43.4357/@36.4723,43.4357,14z?hl=en","Maplink2")</f>
        <v>Maplink2</v>
      </c>
      <c r="AW644" s="20" t="str">
        <f>HYPERLINK("http://www.bing.com/maps/?lvl=14&amp;sty=h&amp;cp=36.4723~43.4357&amp;sp=point.36.4723_43.4357","Maplink3")</f>
        <v>Maplink3</v>
      </c>
    </row>
    <row r="645" spans="1:49" s="19" customFormat="1" x14ac:dyDescent="0.25">
      <c r="A645" s="9">
        <v>17515</v>
      </c>
      <c r="B645" s="10" t="s">
        <v>20</v>
      </c>
      <c r="C645" s="10" t="s">
        <v>1005</v>
      </c>
      <c r="D645" s="10" t="s">
        <v>1014</v>
      </c>
      <c r="E645" s="10" t="s">
        <v>1015</v>
      </c>
      <c r="F645" s="10">
        <v>35.738433000000001</v>
      </c>
      <c r="G645" s="10">
        <v>43.313799000000003</v>
      </c>
      <c r="H645" s="11">
        <v>2200</v>
      </c>
      <c r="I645" s="11">
        <v>13200</v>
      </c>
      <c r="J645" s="11"/>
      <c r="K645" s="11"/>
      <c r="L645" s="11"/>
      <c r="M645" s="11"/>
      <c r="N645" s="11"/>
      <c r="O645" s="11"/>
      <c r="P645" s="11">
        <v>1500</v>
      </c>
      <c r="Q645" s="11"/>
      <c r="R645" s="11">
        <v>400</v>
      </c>
      <c r="S645" s="11"/>
      <c r="T645" s="11"/>
      <c r="U645" s="11"/>
      <c r="V645" s="11">
        <v>300</v>
      </c>
      <c r="W645" s="11"/>
      <c r="X645" s="11"/>
      <c r="Y645" s="11"/>
      <c r="Z645" s="11"/>
      <c r="AA645" s="11"/>
      <c r="AB645" s="11"/>
      <c r="AC645" s="11">
        <v>2200</v>
      </c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>
        <v>2200</v>
      </c>
      <c r="AS645" s="11"/>
      <c r="AT645" s="11"/>
      <c r="AU645" s="20" t="str">
        <f>HYPERLINK("http://www.openstreetmap.org/?mlat=35.7384&amp;mlon=43.3138&amp;zoom=12#map=12/35.7384/43.3138","Maplink1")</f>
        <v>Maplink1</v>
      </c>
      <c r="AV645" s="20" t="str">
        <f>HYPERLINK("https://www.google.iq/maps/search/+35.7384,43.3138/@35.7384,43.3138,14z?hl=en","Maplink2")</f>
        <v>Maplink2</v>
      </c>
      <c r="AW645" s="20" t="str">
        <f>HYPERLINK("http://www.bing.com/maps/?lvl=14&amp;sty=h&amp;cp=35.7384~43.3138&amp;sp=point.35.7384_43.3138","Maplink3")</f>
        <v>Maplink3</v>
      </c>
    </row>
    <row r="646" spans="1:49" s="19" customFormat="1" x14ac:dyDescent="0.25">
      <c r="A646" s="9">
        <v>29701</v>
      </c>
      <c r="B646" s="10" t="s">
        <v>20</v>
      </c>
      <c r="C646" s="10" t="s">
        <v>1005</v>
      </c>
      <c r="D646" s="10" t="s">
        <v>1016</v>
      </c>
      <c r="E646" s="10" t="s">
        <v>1936</v>
      </c>
      <c r="F646" s="10">
        <v>35.772404000000002</v>
      </c>
      <c r="G646" s="10">
        <v>43.284630999999997</v>
      </c>
      <c r="H646" s="11">
        <v>48</v>
      </c>
      <c r="I646" s="11">
        <v>288</v>
      </c>
      <c r="J646" s="11"/>
      <c r="K646" s="11"/>
      <c r="L646" s="11"/>
      <c r="M646" s="11"/>
      <c r="N646" s="11"/>
      <c r="O646" s="11"/>
      <c r="P646" s="11">
        <v>1</v>
      </c>
      <c r="Q646" s="11"/>
      <c r="R646" s="11">
        <v>9</v>
      </c>
      <c r="S646" s="11"/>
      <c r="T646" s="11"/>
      <c r="U646" s="11"/>
      <c r="V646" s="11">
        <v>29</v>
      </c>
      <c r="W646" s="11"/>
      <c r="X646" s="11">
        <v>9</v>
      </c>
      <c r="Y646" s="11"/>
      <c r="Z646" s="11"/>
      <c r="AA646" s="11"/>
      <c r="AB646" s="11"/>
      <c r="AC646" s="11">
        <v>48</v>
      </c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>
        <v>1</v>
      </c>
      <c r="AQ646" s="11"/>
      <c r="AR646" s="11">
        <v>30</v>
      </c>
      <c r="AS646" s="11">
        <v>17</v>
      </c>
      <c r="AT646" s="11"/>
      <c r="AU646" s="20" t="str">
        <f>HYPERLINK("http://www.openstreetmap.org/?mlat=35.7724&amp;mlon=43.2846&amp;zoom=12#map=12/35.7724/43.2846","Maplink1")</f>
        <v>Maplink1</v>
      </c>
      <c r="AV646" s="20" t="str">
        <f>HYPERLINK("https://www.google.iq/maps/search/+35.7724,43.2846/@35.7724,43.2846,14z?hl=en","Maplink2")</f>
        <v>Maplink2</v>
      </c>
      <c r="AW646" s="20" t="str">
        <f>HYPERLINK("http://www.bing.com/maps/?lvl=14&amp;sty=h&amp;cp=35.7724~43.2846&amp;sp=point.35.7724_43.2846","Maplink3")</f>
        <v>Maplink3</v>
      </c>
    </row>
    <row r="647" spans="1:49" s="19" customFormat="1" x14ac:dyDescent="0.25">
      <c r="A647" s="9">
        <v>24146</v>
      </c>
      <c r="B647" s="10" t="s">
        <v>20</v>
      </c>
      <c r="C647" s="10" t="s">
        <v>1005</v>
      </c>
      <c r="D647" s="10" t="s">
        <v>1017</v>
      </c>
      <c r="E647" s="10" t="s">
        <v>1018</v>
      </c>
      <c r="F647" s="10">
        <v>36.465271000000001</v>
      </c>
      <c r="G647" s="10">
        <v>43.250424000000002</v>
      </c>
      <c r="H647" s="11">
        <v>346</v>
      </c>
      <c r="I647" s="11">
        <v>2076</v>
      </c>
      <c r="J647" s="11"/>
      <c r="K647" s="11"/>
      <c r="L647" s="11"/>
      <c r="M647" s="11">
        <v>1</v>
      </c>
      <c r="N647" s="11">
        <v>27</v>
      </c>
      <c r="O647" s="11"/>
      <c r="P647" s="11">
        <v>43</v>
      </c>
      <c r="Q647" s="11"/>
      <c r="R647" s="11"/>
      <c r="S647" s="11"/>
      <c r="T647" s="11"/>
      <c r="U647" s="11">
        <v>9</v>
      </c>
      <c r="V647" s="11">
        <v>262</v>
      </c>
      <c r="W647" s="11"/>
      <c r="X647" s="11"/>
      <c r="Y647" s="11"/>
      <c r="Z647" s="11"/>
      <c r="AA647" s="11">
        <v>4</v>
      </c>
      <c r="AB647" s="11"/>
      <c r="AC647" s="11">
        <v>346</v>
      </c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>
        <v>346</v>
      </c>
      <c r="AP647" s="11"/>
      <c r="AQ647" s="11"/>
      <c r="AR647" s="11"/>
      <c r="AS647" s="11"/>
      <c r="AT647" s="11"/>
      <c r="AU647" s="20" t="str">
        <f>HYPERLINK("http://www.openstreetmap.org/?mlat=36.4653&amp;mlon=43.2504&amp;zoom=12#map=12/36.4653/43.2504","Maplink1")</f>
        <v>Maplink1</v>
      </c>
      <c r="AV647" s="20" t="str">
        <f>HYPERLINK("https://www.google.iq/maps/search/+36.4653,43.2504/@36.4653,43.2504,14z?hl=en","Maplink2")</f>
        <v>Maplink2</v>
      </c>
      <c r="AW647" s="20" t="str">
        <f>HYPERLINK("http://www.bing.com/maps/?lvl=14&amp;sty=h&amp;cp=36.4653~43.2504&amp;sp=point.36.4653_43.2504","Maplink3")</f>
        <v>Maplink3</v>
      </c>
    </row>
    <row r="648" spans="1:49" s="19" customFormat="1" x14ac:dyDescent="0.25">
      <c r="A648" s="9">
        <v>25811</v>
      </c>
      <c r="B648" s="10" t="s">
        <v>20</v>
      </c>
      <c r="C648" s="10" t="s">
        <v>1005</v>
      </c>
      <c r="D648" s="10" t="s">
        <v>1019</v>
      </c>
      <c r="E648" s="10" t="s">
        <v>1020</v>
      </c>
      <c r="F648" s="10">
        <v>36.486525200000003</v>
      </c>
      <c r="G648" s="10">
        <v>43.429712899999998</v>
      </c>
      <c r="H648" s="11">
        <v>41</v>
      </c>
      <c r="I648" s="11">
        <v>246</v>
      </c>
      <c r="J648" s="11"/>
      <c r="K648" s="11"/>
      <c r="L648" s="11"/>
      <c r="M648" s="11"/>
      <c r="N648" s="11">
        <v>31</v>
      </c>
      <c r="O648" s="11"/>
      <c r="P648" s="11">
        <v>10</v>
      </c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>
        <v>41</v>
      </c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>
        <v>41</v>
      </c>
      <c r="AP648" s="11"/>
      <c r="AQ648" s="11"/>
      <c r="AR648" s="11"/>
      <c r="AS648" s="11"/>
      <c r="AT648" s="11"/>
      <c r="AU648" s="20" t="str">
        <f>HYPERLINK("http://www.openstreetmap.org/?mlat=36.4865&amp;mlon=43.4297&amp;zoom=12#map=12/36.4865/43.4297","Maplink1")</f>
        <v>Maplink1</v>
      </c>
      <c r="AV648" s="20" t="str">
        <f>HYPERLINK("https://www.google.iq/maps/search/+36.4865,43.4297/@36.4865,43.4297,14z?hl=en","Maplink2")</f>
        <v>Maplink2</v>
      </c>
      <c r="AW648" s="20" t="str">
        <f>HYPERLINK("http://www.bing.com/maps/?lvl=14&amp;sty=h&amp;cp=36.4865~43.4297&amp;sp=point.36.4865_43.4297","Maplink3")</f>
        <v>Maplink3</v>
      </c>
    </row>
    <row r="649" spans="1:49" s="19" customFormat="1" x14ac:dyDescent="0.25">
      <c r="A649" s="9">
        <v>17431</v>
      </c>
      <c r="B649" s="10" t="s">
        <v>20</v>
      </c>
      <c r="C649" s="10" t="s">
        <v>1005</v>
      </c>
      <c r="D649" s="10" t="s">
        <v>1021</v>
      </c>
      <c r="E649" s="10" t="s">
        <v>1022</v>
      </c>
      <c r="F649" s="10">
        <v>36.197212</v>
      </c>
      <c r="G649" s="10">
        <v>43.080320999999998</v>
      </c>
      <c r="H649" s="11">
        <v>10</v>
      </c>
      <c r="I649" s="11">
        <v>60</v>
      </c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>
        <v>10</v>
      </c>
      <c r="W649" s="11"/>
      <c r="X649" s="11"/>
      <c r="Y649" s="11"/>
      <c r="Z649" s="11"/>
      <c r="AA649" s="11"/>
      <c r="AB649" s="11"/>
      <c r="AC649" s="11">
        <v>10</v>
      </c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>
        <v>10</v>
      </c>
      <c r="AT649" s="11"/>
      <c r="AU649" s="20" t="str">
        <f>HYPERLINK("http://www.openstreetmap.org/?mlat=36.1972&amp;mlon=43.0803&amp;zoom=12#map=12/36.1972/43.0803","Maplink1")</f>
        <v>Maplink1</v>
      </c>
      <c r="AV649" s="20" t="str">
        <f>HYPERLINK("https://www.google.iq/maps/search/+36.1972,43.0803/@36.1972,43.0803,14z?hl=en","Maplink2")</f>
        <v>Maplink2</v>
      </c>
      <c r="AW649" s="20" t="str">
        <f>HYPERLINK("http://www.bing.com/maps/?lvl=14&amp;sty=h&amp;cp=36.1972~43.0803&amp;sp=point.36.1972_43.0803","Maplink3")</f>
        <v>Maplink3</v>
      </c>
    </row>
    <row r="650" spans="1:49" s="19" customFormat="1" x14ac:dyDescent="0.25">
      <c r="A650" s="9">
        <v>31775</v>
      </c>
      <c r="B650" s="10" t="s">
        <v>20</v>
      </c>
      <c r="C650" s="10" t="s">
        <v>1005</v>
      </c>
      <c r="D650" s="10" t="s">
        <v>1023</v>
      </c>
      <c r="E650" s="10" t="s">
        <v>1024</v>
      </c>
      <c r="F650" s="10">
        <v>36.189129999999999</v>
      </c>
      <c r="G650" s="10">
        <v>43.206940000000003</v>
      </c>
      <c r="H650" s="11">
        <v>3000</v>
      </c>
      <c r="I650" s="11">
        <v>18000</v>
      </c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>
        <v>3000</v>
      </c>
      <c r="W650" s="11"/>
      <c r="X650" s="11"/>
      <c r="Y650" s="11"/>
      <c r="Z650" s="11"/>
      <c r="AA650" s="11"/>
      <c r="AB650" s="11"/>
      <c r="AC650" s="11">
        <v>3000</v>
      </c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>
        <v>3000</v>
      </c>
      <c r="AT650" s="11"/>
      <c r="AU650" s="20" t="str">
        <f>HYPERLINK("http://www.openstreetmap.org/?mlat=36.1891&amp;mlon=43.2069&amp;zoom=12#map=12/36.1891/43.2069","Maplink1")</f>
        <v>Maplink1</v>
      </c>
      <c r="AV650" s="20" t="str">
        <f>HYPERLINK("https://www.google.iq/maps/search/+36.1891,43.2069/@36.1891,43.2069,14z?hl=en","Maplink2")</f>
        <v>Maplink2</v>
      </c>
      <c r="AW650" s="20" t="str">
        <f>HYPERLINK("http://www.bing.com/maps/?lvl=14&amp;sty=h&amp;cp=36.1891~43.2069&amp;sp=point.36.1891_43.2069","Maplink3")</f>
        <v>Maplink3</v>
      </c>
    </row>
    <row r="651" spans="1:49" s="19" customFormat="1" x14ac:dyDescent="0.25">
      <c r="A651" s="9">
        <v>33205</v>
      </c>
      <c r="B651" s="10" t="s">
        <v>20</v>
      </c>
      <c r="C651" s="10" t="s">
        <v>1005</v>
      </c>
      <c r="D651" s="10" t="s">
        <v>1937</v>
      </c>
      <c r="E651" s="10" t="s">
        <v>1938</v>
      </c>
      <c r="F651" s="10">
        <v>36.027616999999999</v>
      </c>
      <c r="G651" s="10">
        <v>42.729154000000001</v>
      </c>
      <c r="H651" s="11">
        <v>80</v>
      </c>
      <c r="I651" s="11">
        <v>480</v>
      </c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>
        <v>80</v>
      </c>
      <c r="W651" s="11"/>
      <c r="X651" s="11"/>
      <c r="Y651" s="11"/>
      <c r="Z651" s="11"/>
      <c r="AA651" s="11"/>
      <c r="AB651" s="11"/>
      <c r="AC651" s="11">
        <v>80</v>
      </c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>
        <v>80</v>
      </c>
      <c r="AT651" s="11"/>
      <c r="AU651" s="20" t="str">
        <f>HYPERLINK("http://www.openstreetmap.org/?mlat=36.0276&amp;mlon=42.7292&amp;zoom=12#map=12/36.0276/42.7292","Maplink1")</f>
        <v>Maplink1</v>
      </c>
      <c r="AV651" s="20" t="str">
        <f>HYPERLINK("https://www.google.iq/maps/search/+36.0276,42.7292/@36.0276,42.7292,14z?hl=en","Maplink2")</f>
        <v>Maplink2</v>
      </c>
      <c r="AW651" s="20" t="str">
        <f>HYPERLINK("http://www.bing.com/maps/?lvl=14&amp;sty=h&amp;cp=36.0276~42.7292&amp;sp=point.36.0276_42.7292","Maplink3")</f>
        <v>Maplink3</v>
      </c>
    </row>
    <row r="652" spans="1:49" s="19" customFormat="1" x14ac:dyDescent="0.25">
      <c r="A652" s="9">
        <v>17744</v>
      </c>
      <c r="B652" s="10" t="s">
        <v>20</v>
      </c>
      <c r="C652" s="10" t="s">
        <v>1005</v>
      </c>
      <c r="D652" s="10" t="s">
        <v>1025</v>
      </c>
      <c r="E652" s="10" t="s">
        <v>1026</v>
      </c>
      <c r="F652" s="10">
        <v>35.783900000000003</v>
      </c>
      <c r="G652" s="10">
        <v>43.309699999999999</v>
      </c>
      <c r="H652" s="11">
        <v>127</v>
      </c>
      <c r="I652" s="11">
        <v>762</v>
      </c>
      <c r="J652" s="11"/>
      <c r="K652" s="11"/>
      <c r="L652" s="11"/>
      <c r="M652" s="11"/>
      <c r="N652" s="11"/>
      <c r="O652" s="11"/>
      <c r="P652" s="11">
        <v>112</v>
      </c>
      <c r="Q652" s="11"/>
      <c r="R652" s="11">
        <v>15</v>
      </c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>
        <v>127</v>
      </c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>
        <v>12</v>
      </c>
      <c r="AP652" s="11"/>
      <c r="AQ652" s="11">
        <v>15</v>
      </c>
      <c r="AR652" s="11"/>
      <c r="AS652" s="11">
        <v>100</v>
      </c>
      <c r="AT652" s="11"/>
      <c r="AU652" s="20" t="str">
        <f>HYPERLINK("http://www.openstreetmap.org/?mlat=35.7839&amp;mlon=43.3097&amp;zoom=12#map=12/35.7839/43.3097","Maplink1")</f>
        <v>Maplink1</v>
      </c>
      <c r="AV652" s="20" t="str">
        <f>HYPERLINK("https://www.google.iq/maps/search/+35.7839,43.3097/@35.7839,43.3097,14z?hl=en","Maplink2")</f>
        <v>Maplink2</v>
      </c>
      <c r="AW652" s="20" t="str">
        <f>HYPERLINK("http://www.bing.com/maps/?lvl=14&amp;sty=h&amp;cp=35.7839~43.3097&amp;sp=point.35.7839_43.3097","Maplink3")</f>
        <v>Maplink3</v>
      </c>
    </row>
    <row r="653" spans="1:49" s="19" customFormat="1" x14ac:dyDescent="0.25">
      <c r="A653" s="9">
        <v>18337</v>
      </c>
      <c r="B653" s="10" t="s">
        <v>20</v>
      </c>
      <c r="C653" s="10" t="s">
        <v>1005</v>
      </c>
      <c r="D653" s="10" t="s">
        <v>1027</v>
      </c>
      <c r="E653" s="10" t="s">
        <v>1028</v>
      </c>
      <c r="F653" s="10">
        <v>36.387934000000001</v>
      </c>
      <c r="G653" s="10">
        <v>43.178249000000001</v>
      </c>
      <c r="H653" s="11">
        <v>2</v>
      </c>
      <c r="I653" s="11">
        <v>12</v>
      </c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>
        <v>2</v>
      </c>
      <c r="W653" s="11"/>
      <c r="X653" s="11"/>
      <c r="Y653" s="11"/>
      <c r="Z653" s="11"/>
      <c r="AA653" s="11"/>
      <c r="AB653" s="11"/>
      <c r="AC653" s="11">
        <v>2</v>
      </c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>
        <v>2</v>
      </c>
      <c r="AT653" s="11"/>
      <c r="AU653" s="20" t="str">
        <f>HYPERLINK("http://www.openstreetmap.org/?mlat=36.3879&amp;mlon=43.1782&amp;zoom=12#map=12/36.3879/43.1782","Maplink1")</f>
        <v>Maplink1</v>
      </c>
      <c r="AV653" s="20" t="str">
        <f>HYPERLINK("https://www.google.iq/maps/search/+36.3879,43.1782/@36.3879,43.1782,14z?hl=en","Maplink2")</f>
        <v>Maplink2</v>
      </c>
      <c r="AW653" s="20" t="str">
        <f>HYPERLINK("http://www.bing.com/maps/?lvl=14&amp;sty=h&amp;cp=36.3879~43.1782&amp;sp=point.36.3879_43.1782","Maplink3")</f>
        <v>Maplink3</v>
      </c>
    </row>
    <row r="654" spans="1:49" s="19" customFormat="1" x14ac:dyDescent="0.25">
      <c r="A654" s="9">
        <v>33207</v>
      </c>
      <c r="B654" s="10" t="s">
        <v>20</v>
      </c>
      <c r="C654" s="10" t="s">
        <v>1005</v>
      </c>
      <c r="D654" s="10" t="s">
        <v>1939</v>
      </c>
      <c r="E654" s="10" t="s">
        <v>1940</v>
      </c>
      <c r="F654" s="10">
        <v>35.956933999999997</v>
      </c>
      <c r="G654" s="10">
        <v>42.749169000000002</v>
      </c>
      <c r="H654" s="11">
        <v>8</v>
      </c>
      <c r="I654" s="11">
        <v>48</v>
      </c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>
        <v>8</v>
      </c>
      <c r="W654" s="11"/>
      <c r="X654" s="11"/>
      <c r="Y654" s="11"/>
      <c r="Z654" s="11"/>
      <c r="AA654" s="11"/>
      <c r="AB654" s="11"/>
      <c r="AC654" s="11">
        <v>8</v>
      </c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>
        <v>8</v>
      </c>
      <c r="AT654" s="11"/>
      <c r="AU654" s="20" t="str">
        <f>HYPERLINK("http://www.openstreetmap.org/?mlat=35.9569&amp;mlon=42.7492&amp;zoom=12#map=12/35.9569/42.7492","Maplink1")</f>
        <v>Maplink1</v>
      </c>
      <c r="AV654" s="20" t="str">
        <f>HYPERLINK("https://www.google.iq/maps/search/+35.9569,42.7492/@35.9569,42.7492,14z?hl=en","Maplink2")</f>
        <v>Maplink2</v>
      </c>
      <c r="AW654" s="20" t="str">
        <f>HYPERLINK("http://www.bing.com/maps/?lvl=14&amp;sty=h&amp;cp=35.9569~42.7492&amp;sp=point.35.9569_42.7492","Maplink3")</f>
        <v>Maplink3</v>
      </c>
    </row>
    <row r="655" spans="1:49" s="19" customFormat="1" x14ac:dyDescent="0.25">
      <c r="A655" s="9">
        <v>33235</v>
      </c>
      <c r="B655" s="10" t="s">
        <v>20</v>
      </c>
      <c r="C655" s="10" t="s">
        <v>1005</v>
      </c>
      <c r="D655" s="10" t="s">
        <v>2147</v>
      </c>
      <c r="E655" s="10" t="s">
        <v>2148</v>
      </c>
      <c r="F655" s="10">
        <v>36.430990000000001</v>
      </c>
      <c r="G655" s="10">
        <v>42.839261999999998</v>
      </c>
      <c r="H655" s="11">
        <v>40</v>
      </c>
      <c r="I655" s="11">
        <v>240</v>
      </c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>
        <v>40</v>
      </c>
      <c r="W655" s="11"/>
      <c r="X655" s="11"/>
      <c r="Y655" s="11"/>
      <c r="Z655" s="11"/>
      <c r="AA655" s="11"/>
      <c r="AB655" s="11"/>
      <c r="AC655" s="11">
        <v>40</v>
      </c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>
        <v>40</v>
      </c>
      <c r="AT655" s="11"/>
      <c r="AU655" s="20" t="str">
        <f>HYPERLINK("http://www.openstreetmap.org/?mlat=36.431&amp;mlon=42.8393&amp;zoom=12#map=12/36.431/42.8393","Maplink1")</f>
        <v>Maplink1</v>
      </c>
      <c r="AV655" s="20" t="str">
        <f>HYPERLINK("https://www.google.iq/maps/search/+36.431,42.8393/@36.431,42.8393,14z?hl=en","Maplink2")</f>
        <v>Maplink2</v>
      </c>
      <c r="AW655" s="20" t="str">
        <f>HYPERLINK("http://www.bing.com/maps/?lvl=14&amp;sty=h&amp;cp=36.431~42.8393&amp;sp=point.36.431_42.8393","Maplink3")</f>
        <v>Maplink3</v>
      </c>
    </row>
    <row r="656" spans="1:49" s="19" customFormat="1" x14ac:dyDescent="0.25">
      <c r="A656" s="9">
        <v>17993</v>
      </c>
      <c r="B656" s="10" t="s">
        <v>20</v>
      </c>
      <c r="C656" s="10" t="s">
        <v>1005</v>
      </c>
      <c r="D656" s="10" t="s">
        <v>1619</v>
      </c>
      <c r="E656" s="10" t="s">
        <v>1620</v>
      </c>
      <c r="F656" s="10">
        <v>36.273088999999999</v>
      </c>
      <c r="G656" s="10">
        <v>43.161197999999999</v>
      </c>
      <c r="H656" s="11">
        <v>400</v>
      </c>
      <c r="I656" s="11">
        <v>2400</v>
      </c>
      <c r="J656" s="11"/>
      <c r="K656" s="11"/>
      <c r="L656" s="11">
        <v>15</v>
      </c>
      <c r="M656" s="11"/>
      <c r="N656" s="11"/>
      <c r="O656" s="11"/>
      <c r="P656" s="11">
        <v>20</v>
      </c>
      <c r="Q656" s="11"/>
      <c r="R656" s="11">
        <v>20</v>
      </c>
      <c r="S656" s="11"/>
      <c r="T656" s="11"/>
      <c r="U656" s="11"/>
      <c r="V656" s="11">
        <v>345</v>
      </c>
      <c r="W656" s="11"/>
      <c r="X656" s="11"/>
      <c r="Y656" s="11"/>
      <c r="Z656" s="11"/>
      <c r="AA656" s="11"/>
      <c r="AB656" s="11"/>
      <c r="AC656" s="11">
        <v>400</v>
      </c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>
        <v>400</v>
      </c>
      <c r="AT656" s="11"/>
      <c r="AU656" s="20" t="str">
        <f>HYPERLINK("http://www.openstreetmap.org/?mlat=36.2731&amp;mlon=43.1612&amp;zoom=12#map=12/36.2731/43.1612","Maplink1")</f>
        <v>Maplink1</v>
      </c>
      <c r="AV656" s="20" t="str">
        <f>HYPERLINK("https://www.google.iq/maps/search/+36.2731,43.1612/@36.2731,43.1612,14z?hl=en","Maplink2")</f>
        <v>Maplink2</v>
      </c>
      <c r="AW656" s="20" t="str">
        <f>HYPERLINK("http://www.bing.com/maps/?lvl=14&amp;sty=h&amp;cp=36.2731~43.1612&amp;sp=point.36.2731_43.1612","Maplink3")</f>
        <v>Maplink3</v>
      </c>
    </row>
    <row r="657" spans="1:49" s="19" customFormat="1" x14ac:dyDescent="0.25">
      <c r="A657" s="9">
        <v>31842</v>
      </c>
      <c r="B657" s="10" t="s">
        <v>20</v>
      </c>
      <c r="C657" s="10" t="s">
        <v>1005</v>
      </c>
      <c r="D657" s="10" t="s">
        <v>1029</v>
      </c>
      <c r="E657" s="10" t="s">
        <v>1030</v>
      </c>
      <c r="F657" s="10">
        <v>35.736159999999998</v>
      </c>
      <c r="G657" s="10">
        <v>43.309980000000003</v>
      </c>
      <c r="H657" s="11">
        <v>258</v>
      </c>
      <c r="I657" s="11">
        <v>1548</v>
      </c>
      <c r="J657" s="11"/>
      <c r="K657" s="11"/>
      <c r="L657" s="11"/>
      <c r="M657" s="11"/>
      <c r="N657" s="11"/>
      <c r="O657" s="11"/>
      <c r="P657" s="11">
        <v>242</v>
      </c>
      <c r="Q657" s="11"/>
      <c r="R657" s="11">
        <v>6</v>
      </c>
      <c r="S657" s="11"/>
      <c r="T657" s="11"/>
      <c r="U657" s="11"/>
      <c r="V657" s="11">
        <v>10</v>
      </c>
      <c r="W657" s="11"/>
      <c r="X657" s="11"/>
      <c r="Y657" s="11"/>
      <c r="Z657" s="11"/>
      <c r="AA657" s="11"/>
      <c r="AB657" s="11"/>
      <c r="AC657" s="11">
        <v>258</v>
      </c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>
        <v>2</v>
      </c>
      <c r="AQ657" s="11"/>
      <c r="AR657" s="11">
        <v>249</v>
      </c>
      <c r="AS657" s="11">
        <v>7</v>
      </c>
      <c r="AT657" s="11"/>
      <c r="AU657" s="20" t="str">
        <f>HYPERLINK("http://www.openstreetmap.org/?mlat=35.7362&amp;mlon=43.31&amp;zoom=12#map=12/35.7362/43.31","Maplink1")</f>
        <v>Maplink1</v>
      </c>
      <c r="AV657" s="20" t="str">
        <f>HYPERLINK("https://www.google.iq/maps/search/+35.7362,43.31/@35.7362,43.31,14z?hl=en","Maplink2")</f>
        <v>Maplink2</v>
      </c>
      <c r="AW657" s="20" t="str">
        <f>HYPERLINK("http://www.bing.com/maps/?lvl=14&amp;sty=h&amp;cp=35.7362~43.31&amp;sp=point.35.7362_43.31","Maplink3")</f>
        <v>Maplink3</v>
      </c>
    </row>
    <row r="658" spans="1:49" s="19" customFormat="1" x14ac:dyDescent="0.25">
      <c r="A658" s="9">
        <v>31835</v>
      </c>
      <c r="B658" s="10" t="s">
        <v>20</v>
      </c>
      <c r="C658" s="10" t="s">
        <v>1005</v>
      </c>
      <c r="D658" s="10" t="s">
        <v>1031</v>
      </c>
      <c r="E658" s="10" t="s">
        <v>1032</v>
      </c>
      <c r="F658" s="10">
        <v>35.740090000000002</v>
      </c>
      <c r="G658" s="10">
        <v>43.312240000000003</v>
      </c>
      <c r="H658" s="11">
        <v>815</v>
      </c>
      <c r="I658" s="11">
        <v>4890</v>
      </c>
      <c r="J658" s="11"/>
      <c r="K658" s="11"/>
      <c r="L658" s="11"/>
      <c r="M658" s="11"/>
      <c r="N658" s="11"/>
      <c r="O658" s="11"/>
      <c r="P658" s="11">
        <v>760</v>
      </c>
      <c r="Q658" s="11"/>
      <c r="R658" s="11">
        <v>55</v>
      </c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>
        <v>815</v>
      </c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>
        <v>15</v>
      </c>
      <c r="AP658" s="11"/>
      <c r="AQ658" s="11"/>
      <c r="AR658" s="11">
        <v>800</v>
      </c>
      <c r="AS658" s="11"/>
      <c r="AT658" s="11"/>
      <c r="AU658" s="20" t="str">
        <f>HYPERLINK("http://www.openstreetmap.org/?mlat=35.7401&amp;mlon=43.3122&amp;zoom=12#map=12/35.7401/43.3122","Maplink1")</f>
        <v>Maplink1</v>
      </c>
      <c r="AV658" s="20" t="str">
        <f>HYPERLINK("https://www.google.iq/maps/search/+35.7401,43.3122/@35.7401,43.3122,14z?hl=en","Maplink2")</f>
        <v>Maplink2</v>
      </c>
      <c r="AW658" s="20" t="str">
        <f>HYPERLINK("http://www.bing.com/maps/?lvl=14&amp;sty=h&amp;cp=35.7401~43.3122&amp;sp=point.35.7401_43.3122","Maplink3")</f>
        <v>Maplink3</v>
      </c>
    </row>
    <row r="659" spans="1:49" s="19" customFormat="1" x14ac:dyDescent="0.25">
      <c r="A659" s="9">
        <v>29649</v>
      </c>
      <c r="B659" s="10" t="s">
        <v>20</v>
      </c>
      <c r="C659" s="10" t="s">
        <v>1005</v>
      </c>
      <c r="D659" s="10" t="s">
        <v>1033</v>
      </c>
      <c r="E659" s="10" t="s">
        <v>1034</v>
      </c>
      <c r="F659" s="10">
        <v>35.8522770561</v>
      </c>
      <c r="G659" s="10">
        <v>43.296961338499997</v>
      </c>
      <c r="H659" s="11">
        <v>198</v>
      </c>
      <c r="I659" s="11">
        <v>1188</v>
      </c>
      <c r="J659" s="11"/>
      <c r="K659" s="11"/>
      <c r="L659" s="11">
        <v>28</v>
      </c>
      <c r="M659" s="11"/>
      <c r="N659" s="11"/>
      <c r="O659" s="11"/>
      <c r="P659" s="11">
        <v>17</v>
      </c>
      <c r="Q659" s="11"/>
      <c r="R659" s="11">
        <v>56</v>
      </c>
      <c r="S659" s="11"/>
      <c r="T659" s="11"/>
      <c r="U659" s="11"/>
      <c r="V659" s="11">
        <v>90</v>
      </c>
      <c r="W659" s="11"/>
      <c r="X659" s="11">
        <v>7</v>
      </c>
      <c r="Y659" s="11"/>
      <c r="Z659" s="11"/>
      <c r="AA659" s="11"/>
      <c r="AB659" s="11"/>
      <c r="AC659" s="11">
        <v>198</v>
      </c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>
        <v>15</v>
      </c>
      <c r="AP659" s="11"/>
      <c r="AQ659" s="11">
        <v>74</v>
      </c>
      <c r="AR659" s="11">
        <v>50</v>
      </c>
      <c r="AS659" s="11">
        <v>59</v>
      </c>
      <c r="AT659" s="11"/>
      <c r="AU659" s="20" t="str">
        <f>HYPERLINK("http://www.openstreetmap.org/?mlat=35.8523&amp;mlon=43.297&amp;zoom=12#map=12/35.8523/43.297","Maplink1")</f>
        <v>Maplink1</v>
      </c>
      <c r="AV659" s="20" t="str">
        <f>HYPERLINK("https://www.google.iq/maps/search/+35.8523,43.297/@35.8523,43.297,14z?hl=en","Maplink2")</f>
        <v>Maplink2</v>
      </c>
      <c r="AW659" s="20" t="str">
        <f>HYPERLINK("http://www.bing.com/maps/?lvl=14&amp;sty=h&amp;cp=35.8523~43.297&amp;sp=point.35.8523_43.297","Maplink3")</f>
        <v>Maplink3</v>
      </c>
    </row>
    <row r="660" spans="1:49" s="19" customFormat="1" x14ac:dyDescent="0.25">
      <c r="A660" s="9">
        <v>29663</v>
      </c>
      <c r="B660" s="10" t="s">
        <v>20</v>
      </c>
      <c r="C660" s="10" t="s">
        <v>1005</v>
      </c>
      <c r="D660" s="10" t="s">
        <v>1035</v>
      </c>
      <c r="E660" s="10" t="s">
        <v>1036</v>
      </c>
      <c r="F660" s="10">
        <v>35.746665</v>
      </c>
      <c r="G660" s="10">
        <v>43.280245000000001</v>
      </c>
      <c r="H660" s="11">
        <v>160</v>
      </c>
      <c r="I660" s="11">
        <v>960</v>
      </c>
      <c r="J660" s="11"/>
      <c r="K660" s="11"/>
      <c r="L660" s="11"/>
      <c r="M660" s="11"/>
      <c r="N660" s="11"/>
      <c r="O660" s="11"/>
      <c r="P660" s="11">
        <v>160</v>
      </c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>
        <v>160</v>
      </c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>
        <v>160</v>
      </c>
      <c r="AS660" s="11"/>
      <c r="AT660" s="11"/>
      <c r="AU660" s="20" t="str">
        <f>HYPERLINK("http://www.openstreetmap.org/?mlat=35.7467&amp;mlon=43.2802&amp;zoom=12#map=12/35.7467/43.2802","Maplink1")</f>
        <v>Maplink1</v>
      </c>
      <c r="AV660" s="20" t="str">
        <f>HYPERLINK("https://www.google.iq/maps/search/+35.7467,43.2802/@35.7467,43.2802,14z?hl=en","Maplink2")</f>
        <v>Maplink2</v>
      </c>
      <c r="AW660" s="20" t="str">
        <f>HYPERLINK("http://www.bing.com/maps/?lvl=14&amp;sty=h&amp;cp=35.7467~43.2802&amp;sp=point.35.7467_43.2802","Maplink3")</f>
        <v>Maplink3</v>
      </c>
    </row>
    <row r="661" spans="1:49" s="19" customFormat="1" x14ac:dyDescent="0.25">
      <c r="A661" s="9">
        <v>31772</v>
      </c>
      <c r="B661" s="10" t="s">
        <v>20</v>
      </c>
      <c r="C661" s="10" t="s">
        <v>1005</v>
      </c>
      <c r="D661" s="10" t="s">
        <v>1037</v>
      </c>
      <c r="E661" s="10" t="s">
        <v>1038</v>
      </c>
      <c r="F661" s="10">
        <v>36.230620000000002</v>
      </c>
      <c r="G661" s="10">
        <v>43.190820000000002</v>
      </c>
      <c r="H661" s="11">
        <v>40</v>
      </c>
      <c r="I661" s="11">
        <v>240</v>
      </c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>
        <v>40</v>
      </c>
      <c r="W661" s="11"/>
      <c r="X661" s="11"/>
      <c r="Y661" s="11"/>
      <c r="Z661" s="11"/>
      <c r="AA661" s="11"/>
      <c r="AB661" s="11"/>
      <c r="AC661" s="11">
        <v>40</v>
      </c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>
        <v>40</v>
      </c>
      <c r="AT661" s="11"/>
      <c r="AU661" s="20" t="str">
        <f>HYPERLINK("http://www.openstreetmap.org/?mlat=36.2306&amp;mlon=43.1908&amp;zoom=12#map=12/36.2306/43.1908","Maplink1")</f>
        <v>Maplink1</v>
      </c>
      <c r="AV661" s="20" t="str">
        <f>HYPERLINK("https://www.google.iq/maps/search/+36.2306,43.1908/@36.2306,43.1908,14z?hl=en","Maplink2")</f>
        <v>Maplink2</v>
      </c>
      <c r="AW661" s="20" t="str">
        <f>HYPERLINK("http://www.bing.com/maps/?lvl=14&amp;sty=h&amp;cp=36.2306~43.1908&amp;sp=point.36.2306_43.1908","Maplink3")</f>
        <v>Maplink3</v>
      </c>
    </row>
    <row r="662" spans="1:49" s="19" customFormat="1" x14ac:dyDescent="0.25">
      <c r="A662" s="9">
        <v>33167</v>
      </c>
      <c r="B662" s="10" t="s">
        <v>20</v>
      </c>
      <c r="C662" s="10" t="s">
        <v>1005</v>
      </c>
      <c r="D662" s="10" t="s">
        <v>1773</v>
      </c>
      <c r="E662" s="10" t="s">
        <v>1038</v>
      </c>
      <c r="F662" s="10">
        <v>36.410248000000003</v>
      </c>
      <c r="G662" s="10">
        <v>42.968043999999999</v>
      </c>
      <c r="H662" s="11">
        <v>150</v>
      </c>
      <c r="I662" s="11">
        <v>900</v>
      </c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>
        <v>150</v>
      </c>
      <c r="W662" s="11"/>
      <c r="X662" s="11"/>
      <c r="Y662" s="11"/>
      <c r="Z662" s="11"/>
      <c r="AA662" s="11"/>
      <c r="AB662" s="11"/>
      <c r="AC662" s="11">
        <v>150</v>
      </c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>
        <v>150</v>
      </c>
      <c r="AT662" s="11"/>
      <c r="AU662" s="20" t="str">
        <f>HYPERLINK("http://www.openstreetmap.org/?mlat=36.4102&amp;mlon=42.968&amp;zoom=12#map=12/36.4102/42.968","Maplink1")</f>
        <v>Maplink1</v>
      </c>
      <c r="AV662" s="20" t="str">
        <f>HYPERLINK("https://www.google.iq/maps/search/+36.4102,42.968/@36.4102,42.968,14z?hl=en","Maplink2")</f>
        <v>Maplink2</v>
      </c>
      <c r="AW662" s="20" t="str">
        <f>HYPERLINK("http://www.bing.com/maps/?lvl=14&amp;sty=h&amp;cp=36.4102~42.968&amp;sp=point.36.4102_42.968","Maplink3")</f>
        <v>Maplink3</v>
      </c>
    </row>
    <row r="663" spans="1:49" s="19" customFormat="1" x14ac:dyDescent="0.25">
      <c r="A663" s="9">
        <v>31936</v>
      </c>
      <c r="B663" s="10" t="s">
        <v>20</v>
      </c>
      <c r="C663" s="10" t="s">
        <v>1005</v>
      </c>
      <c r="D663" s="10" t="s">
        <v>1039</v>
      </c>
      <c r="E663" s="10" t="s">
        <v>1040</v>
      </c>
      <c r="F663" s="10">
        <v>35.661461000000003</v>
      </c>
      <c r="G663" s="10">
        <v>43.235230000000001</v>
      </c>
      <c r="H663" s="11">
        <v>605</v>
      </c>
      <c r="I663" s="11">
        <v>3630</v>
      </c>
      <c r="J663" s="11"/>
      <c r="K663" s="11"/>
      <c r="L663" s="11"/>
      <c r="M663" s="11"/>
      <c r="N663" s="11"/>
      <c r="O663" s="11"/>
      <c r="P663" s="11">
        <v>203</v>
      </c>
      <c r="Q663" s="11"/>
      <c r="R663" s="11">
        <v>2</v>
      </c>
      <c r="S663" s="11"/>
      <c r="T663" s="11"/>
      <c r="U663" s="11"/>
      <c r="V663" s="11"/>
      <c r="W663" s="11"/>
      <c r="X663" s="11">
        <v>400</v>
      </c>
      <c r="Y663" s="11"/>
      <c r="Z663" s="11"/>
      <c r="AA663" s="11"/>
      <c r="AB663" s="11"/>
      <c r="AC663" s="11">
        <v>605</v>
      </c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>
        <v>600</v>
      </c>
      <c r="AS663" s="11">
        <v>5</v>
      </c>
      <c r="AT663" s="11"/>
      <c r="AU663" s="20" t="str">
        <f>HYPERLINK("http://www.openstreetmap.org/?mlat=35.6615&amp;mlon=43.2352&amp;zoom=12#map=12/35.6615/43.2352","Maplink1")</f>
        <v>Maplink1</v>
      </c>
      <c r="AV663" s="20" t="str">
        <f>HYPERLINK("https://www.google.iq/maps/search/+35.6615,43.2352/@35.6615,43.2352,14z?hl=en","Maplink2")</f>
        <v>Maplink2</v>
      </c>
      <c r="AW663" s="20" t="str">
        <f>HYPERLINK("http://www.bing.com/maps/?lvl=14&amp;sty=h&amp;cp=35.6615~43.2352&amp;sp=point.35.6615_43.2352","Maplink3")</f>
        <v>Maplink3</v>
      </c>
    </row>
    <row r="664" spans="1:49" s="19" customFormat="1" x14ac:dyDescent="0.25">
      <c r="A664" s="9">
        <v>31843</v>
      </c>
      <c r="B664" s="10" t="s">
        <v>20</v>
      </c>
      <c r="C664" s="10" t="s">
        <v>1005</v>
      </c>
      <c r="D664" s="10" t="s">
        <v>1041</v>
      </c>
      <c r="E664" s="10" t="s">
        <v>1042</v>
      </c>
      <c r="F664" s="10">
        <v>35.747799999999998</v>
      </c>
      <c r="G664" s="10">
        <v>43.30303</v>
      </c>
      <c r="H664" s="11">
        <v>203</v>
      </c>
      <c r="I664" s="11">
        <v>1218</v>
      </c>
      <c r="J664" s="11"/>
      <c r="K664" s="11"/>
      <c r="L664" s="11"/>
      <c r="M664" s="11"/>
      <c r="N664" s="11"/>
      <c r="O664" s="11"/>
      <c r="P664" s="11">
        <v>163</v>
      </c>
      <c r="Q664" s="11"/>
      <c r="R664" s="11">
        <v>40</v>
      </c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>
        <v>203</v>
      </c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>
        <v>16</v>
      </c>
      <c r="AP664" s="11"/>
      <c r="AQ664" s="11"/>
      <c r="AR664" s="11">
        <v>185</v>
      </c>
      <c r="AS664" s="11">
        <v>2</v>
      </c>
      <c r="AT664" s="11"/>
      <c r="AU664" s="20" t="str">
        <f>HYPERLINK("http://www.openstreetmap.org/?mlat=35.7478&amp;mlon=43.303&amp;zoom=12#map=12/35.7478/43.303","Maplink1")</f>
        <v>Maplink1</v>
      </c>
      <c r="AV664" s="20" t="str">
        <f>HYPERLINK("https://www.google.iq/maps/search/+35.7478,43.303/@35.7478,43.303,14z?hl=en","Maplink2")</f>
        <v>Maplink2</v>
      </c>
      <c r="AW664" s="20" t="str">
        <f>HYPERLINK("http://www.bing.com/maps/?lvl=14&amp;sty=h&amp;cp=35.7478~43.303&amp;sp=point.35.7478_43.303","Maplink3")</f>
        <v>Maplink3</v>
      </c>
    </row>
    <row r="665" spans="1:49" s="19" customFormat="1" x14ac:dyDescent="0.25">
      <c r="A665" s="9">
        <v>18339</v>
      </c>
      <c r="B665" s="10" t="s">
        <v>20</v>
      </c>
      <c r="C665" s="10" t="s">
        <v>1005</v>
      </c>
      <c r="D665" s="10" t="s">
        <v>1043</v>
      </c>
      <c r="E665" s="10" t="s">
        <v>1044</v>
      </c>
      <c r="F665" s="10">
        <v>36.343750073400003</v>
      </c>
      <c r="G665" s="10">
        <v>43.213841159600001</v>
      </c>
      <c r="H665" s="11">
        <v>191</v>
      </c>
      <c r="I665" s="11">
        <v>1146</v>
      </c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>
        <v>191</v>
      </c>
      <c r="W665" s="11"/>
      <c r="X665" s="11"/>
      <c r="Y665" s="11"/>
      <c r="Z665" s="11"/>
      <c r="AA665" s="11"/>
      <c r="AB665" s="11"/>
      <c r="AC665" s="11">
        <v>191</v>
      </c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>
        <v>191</v>
      </c>
      <c r="AT665" s="11"/>
      <c r="AU665" s="20" t="str">
        <f>HYPERLINK("http://www.openstreetmap.org/?mlat=36.3438&amp;mlon=43.2138&amp;zoom=12#map=12/36.3438/43.2138","Maplink1")</f>
        <v>Maplink1</v>
      </c>
      <c r="AV665" s="20" t="str">
        <f>HYPERLINK("https://www.google.iq/maps/search/+36.3438,43.2138/@36.3438,43.2138,14z?hl=en","Maplink2")</f>
        <v>Maplink2</v>
      </c>
      <c r="AW665" s="20" t="str">
        <f>HYPERLINK("http://www.bing.com/maps/?lvl=14&amp;sty=h&amp;cp=36.3438~43.2138&amp;sp=point.36.3438_43.2138","Maplink3")</f>
        <v>Maplink3</v>
      </c>
    </row>
    <row r="666" spans="1:49" s="19" customFormat="1" x14ac:dyDescent="0.25">
      <c r="A666" s="9">
        <v>31885</v>
      </c>
      <c r="B666" s="10" t="s">
        <v>20</v>
      </c>
      <c r="C666" s="10" t="s">
        <v>1005</v>
      </c>
      <c r="D666" s="10" t="s">
        <v>1045</v>
      </c>
      <c r="E666" s="10" t="s">
        <v>1046</v>
      </c>
      <c r="F666" s="10">
        <v>36.122709999999998</v>
      </c>
      <c r="G666" s="10">
        <v>43.190440000000002</v>
      </c>
      <c r="H666" s="11">
        <v>102</v>
      </c>
      <c r="I666" s="11">
        <v>612</v>
      </c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>
        <v>102</v>
      </c>
      <c r="W666" s="11"/>
      <c r="X666" s="11"/>
      <c r="Y666" s="11"/>
      <c r="Z666" s="11"/>
      <c r="AA666" s="11"/>
      <c r="AB666" s="11"/>
      <c r="AC666" s="11">
        <v>102</v>
      </c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>
        <v>102</v>
      </c>
      <c r="AT666" s="11"/>
      <c r="AU666" s="20" t="str">
        <f>HYPERLINK("http://www.openstreetmap.org/?mlat=36.1227&amp;mlon=43.1904&amp;zoom=12#map=12/36.1227/43.1904","Maplink1")</f>
        <v>Maplink1</v>
      </c>
      <c r="AV666" s="20" t="str">
        <f>HYPERLINK("https://www.google.iq/maps/search/+36.1227,43.1904/@36.1227,43.1904,14z?hl=en","Maplink2")</f>
        <v>Maplink2</v>
      </c>
      <c r="AW666" s="20" t="str">
        <f>HYPERLINK("http://www.bing.com/maps/?lvl=14&amp;sty=h&amp;cp=36.1227~43.1904&amp;sp=point.36.1227_43.1904","Maplink3")</f>
        <v>Maplink3</v>
      </c>
    </row>
    <row r="667" spans="1:49" s="19" customFormat="1" x14ac:dyDescent="0.25">
      <c r="A667" s="9">
        <v>33206</v>
      </c>
      <c r="B667" s="10" t="s">
        <v>20</v>
      </c>
      <c r="C667" s="10" t="s">
        <v>1005</v>
      </c>
      <c r="D667" s="10" t="s">
        <v>1941</v>
      </c>
      <c r="E667" s="10" t="s">
        <v>1942</v>
      </c>
      <c r="F667" s="10">
        <v>36.001669</v>
      </c>
      <c r="G667" s="10">
        <v>42.661982999999999</v>
      </c>
      <c r="H667" s="11">
        <v>7</v>
      </c>
      <c r="I667" s="11">
        <v>42</v>
      </c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>
        <v>7</v>
      </c>
      <c r="W667" s="11"/>
      <c r="X667" s="11"/>
      <c r="Y667" s="11"/>
      <c r="Z667" s="11"/>
      <c r="AA667" s="11"/>
      <c r="AB667" s="11"/>
      <c r="AC667" s="11">
        <v>7</v>
      </c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>
        <v>7</v>
      </c>
      <c r="AT667" s="11"/>
      <c r="AU667" s="20" t="str">
        <f>HYPERLINK("http://www.openstreetmap.org/?mlat=36.0017&amp;mlon=42.662&amp;zoom=12#map=12/36.0017/42.662","Maplink1")</f>
        <v>Maplink1</v>
      </c>
      <c r="AV667" s="20" t="str">
        <f>HYPERLINK("https://www.google.iq/maps/search/+36.0017,42.662/@36.0017,42.662,14z?hl=en","Maplink2")</f>
        <v>Maplink2</v>
      </c>
      <c r="AW667" s="20" t="str">
        <f>HYPERLINK("http://www.bing.com/maps/?lvl=14&amp;sty=h&amp;cp=36.0017~42.662&amp;sp=point.36.0017_42.662","Maplink3")</f>
        <v>Maplink3</v>
      </c>
    </row>
    <row r="668" spans="1:49" s="19" customFormat="1" x14ac:dyDescent="0.25">
      <c r="A668" s="9">
        <v>29683</v>
      </c>
      <c r="B668" s="10" t="s">
        <v>20</v>
      </c>
      <c r="C668" s="10" t="s">
        <v>1005</v>
      </c>
      <c r="D668" s="10" t="s">
        <v>1047</v>
      </c>
      <c r="E668" s="10" t="s">
        <v>1048</v>
      </c>
      <c r="F668" s="10">
        <v>36.469630000000002</v>
      </c>
      <c r="G668" s="10">
        <v>43.226260000000003</v>
      </c>
      <c r="H668" s="11">
        <v>82</v>
      </c>
      <c r="I668" s="11">
        <v>492</v>
      </c>
      <c r="J668" s="11"/>
      <c r="K668" s="11"/>
      <c r="L668" s="11"/>
      <c r="M668" s="11"/>
      <c r="N668" s="11">
        <v>70</v>
      </c>
      <c r="O668" s="11"/>
      <c r="P668" s="11"/>
      <c r="Q668" s="11"/>
      <c r="R668" s="11"/>
      <c r="S668" s="11"/>
      <c r="T668" s="11"/>
      <c r="U668" s="11"/>
      <c r="V668" s="11">
        <v>12</v>
      </c>
      <c r="W668" s="11"/>
      <c r="X668" s="11"/>
      <c r="Y668" s="11"/>
      <c r="Z668" s="11"/>
      <c r="AA668" s="11"/>
      <c r="AB668" s="11"/>
      <c r="AC668" s="11">
        <v>82</v>
      </c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>
        <v>70</v>
      </c>
      <c r="AP668" s="11"/>
      <c r="AQ668" s="11"/>
      <c r="AR668" s="11"/>
      <c r="AS668" s="11">
        <v>12</v>
      </c>
      <c r="AT668" s="11"/>
      <c r="AU668" s="20" t="str">
        <f>HYPERLINK("http://www.openstreetmap.org/?mlat=36.4696&amp;mlon=43.2263&amp;zoom=12#map=12/36.4696/43.2263","Maplink1")</f>
        <v>Maplink1</v>
      </c>
      <c r="AV668" s="20" t="str">
        <f>HYPERLINK("https://www.google.iq/maps/search/+36.4696,43.2263/@36.4696,43.2263,14z?hl=en","Maplink2")</f>
        <v>Maplink2</v>
      </c>
      <c r="AW668" s="20" t="str">
        <f>HYPERLINK("http://www.bing.com/maps/?lvl=14&amp;sty=h&amp;cp=36.4696~43.2263&amp;sp=point.36.4696_43.2263","Maplink3")</f>
        <v>Maplink3</v>
      </c>
    </row>
    <row r="669" spans="1:49" s="19" customFormat="1" x14ac:dyDescent="0.25">
      <c r="A669" s="9">
        <v>17869</v>
      </c>
      <c r="B669" s="10" t="s">
        <v>20</v>
      </c>
      <c r="C669" s="10" t="s">
        <v>1005</v>
      </c>
      <c r="D669" s="10" t="s">
        <v>1943</v>
      </c>
      <c r="E669" s="10" t="s">
        <v>1944</v>
      </c>
      <c r="F669" s="10">
        <v>36.275441999999998</v>
      </c>
      <c r="G669" s="10">
        <v>42.882587000000001</v>
      </c>
      <c r="H669" s="11">
        <v>210</v>
      </c>
      <c r="I669" s="11">
        <v>1260</v>
      </c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>
        <v>210</v>
      </c>
      <c r="W669" s="11"/>
      <c r="X669" s="11"/>
      <c r="Y669" s="11"/>
      <c r="Z669" s="11"/>
      <c r="AA669" s="11"/>
      <c r="AB669" s="11"/>
      <c r="AC669" s="11">
        <v>210</v>
      </c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>
        <v>210</v>
      </c>
      <c r="AT669" s="11"/>
      <c r="AU669" s="20" t="str">
        <f>HYPERLINK("http://www.openstreetmap.org/?mlat=36.2754&amp;mlon=42.8826&amp;zoom=12#map=12/36.2754/42.8826","Maplink1")</f>
        <v>Maplink1</v>
      </c>
      <c r="AV669" s="20" t="str">
        <f>HYPERLINK("https://www.google.iq/maps/search/+36.2754,42.8826/@36.2754,42.8826,14z?hl=en","Maplink2")</f>
        <v>Maplink2</v>
      </c>
      <c r="AW669" s="20" t="str">
        <f>HYPERLINK("http://www.bing.com/maps/?lvl=14&amp;sty=h&amp;cp=36.2754~42.8826&amp;sp=point.36.2754_42.8826","Maplink3")</f>
        <v>Maplink3</v>
      </c>
    </row>
    <row r="670" spans="1:49" s="19" customFormat="1" x14ac:dyDescent="0.25">
      <c r="A670" s="9">
        <v>33204</v>
      </c>
      <c r="B670" s="10" t="s">
        <v>20</v>
      </c>
      <c r="C670" s="10" t="s">
        <v>1005</v>
      </c>
      <c r="D670" s="10" t="s">
        <v>1945</v>
      </c>
      <c r="E670" s="10" t="s">
        <v>1946</v>
      </c>
      <c r="F670" s="10">
        <v>36.257967000000001</v>
      </c>
      <c r="G670" s="10">
        <v>42.808019999999999</v>
      </c>
      <c r="H670" s="11">
        <v>6</v>
      </c>
      <c r="I670" s="11">
        <v>36</v>
      </c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>
        <v>6</v>
      </c>
      <c r="W670" s="11"/>
      <c r="X670" s="11"/>
      <c r="Y670" s="11"/>
      <c r="Z670" s="11"/>
      <c r="AA670" s="11"/>
      <c r="AB670" s="11"/>
      <c r="AC670" s="11">
        <v>6</v>
      </c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>
        <v>6</v>
      </c>
      <c r="AT670" s="11"/>
      <c r="AU670" s="20" t="str">
        <f>HYPERLINK("http://www.openstreetmap.org/?mlat=36.258&amp;mlon=42.808&amp;zoom=12#map=12/36.258/42.808","Maplink1")</f>
        <v>Maplink1</v>
      </c>
      <c r="AV670" s="20" t="str">
        <f>HYPERLINK("https://www.google.iq/maps/search/+36.258,42.808/@36.258,42.808,14z?hl=en","Maplink2")</f>
        <v>Maplink2</v>
      </c>
      <c r="AW670" s="20" t="str">
        <f>HYPERLINK("http://www.bing.com/maps/?lvl=14&amp;sty=h&amp;cp=36.258~42.808&amp;sp=point.36.258_42.808","Maplink3")</f>
        <v>Maplink3</v>
      </c>
    </row>
    <row r="671" spans="1:49" s="19" customFormat="1" x14ac:dyDescent="0.25">
      <c r="A671" s="9">
        <v>33180</v>
      </c>
      <c r="B671" s="10" t="s">
        <v>20</v>
      </c>
      <c r="C671" s="10" t="s">
        <v>1005</v>
      </c>
      <c r="D671" s="10" t="s">
        <v>1947</v>
      </c>
      <c r="E671" s="10" t="s">
        <v>1948</v>
      </c>
      <c r="F671" s="10">
        <v>36.103005000000003</v>
      </c>
      <c r="G671" s="10">
        <v>43.233553999999998</v>
      </c>
      <c r="H671" s="11">
        <v>9</v>
      </c>
      <c r="I671" s="11">
        <v>54</v>
      </c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>
        <v>9</v>
      </c>
      <c r="W671" s="11"/>
      <c r="X671" s="11"/>
      <c r="Y671" s="11"/>
      <c r="Z671" s="11"/>
      <c r="AA671" s="11"/>
      <c r="AB671" s="11"/>
      <c r="AC671" s="11">
        <v>9</v>
      </c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>
        <v>9</v>
      </c>
      <c r="AT671" s="11"/>
      <c r="AU671" s="20" t="str">
        <f>HYPERLINK("http://www.openstreetmap.org/?mlat=36.103&amp;mlon=43.2336&amp;zoom=12#map=12/36.103/43.2336","Maplink1")</f>
        <v>Maplink1</v>
      </c>
      <c r="AV671" s="20" t="str">
        <f>HYPERLINK("https://www.google.iq/maps/search/+36.103,43.2336/@36.103,43.2336,14z?hl=en","Maplink2")</f>
        <v>Maplink2</v>
      </c>
      <c r="AW671" s="20" t="str">
        <f>HYPERLINK("http://www.bing.com/maps/?lvl=14&amp;sty=h&amp;cp=36.103~43.2336&amp;sp=point.36.103_43.2336","Maplink3")</f>
        <v>Maplink3</v>
      </c>
    </row>
    <row r="672" spans="1:49" s="19" customFormat="1" x14ac:dyDescent="0.25">
      <c r="A672" s="9">
        <v>31769</v>
      </c>
      <c r="B672" s="10" t="s">
        <v>20</v>
      </c>
      <c r="C672" s="10" t="s">
        <v>1005</v>
      </c>
      <c r="D672" s="10" t="s">
        <v>1049</v>
      </c>
      <c r="E672" s="10" t="s">
        <v>1050</v>
      </c>
      <c r="F672" s="10">
        <v>36.538539999999998</v>
      </c>
      <c r="G672" s="10">
        <v>43.237360000000002</v>
      </c>
      <c r="H672" s="11">
        <v>185</v>
      </c>
      <c r="I672" s="11">
        <v>1110</v>
      </c>
      <c r="J672" s="11"/>
      <c r="K672" s="11"/>
      <c r="L672" s="11"/>
      <c r="M672" s="11"/>
      <c r="N672" s="11">
        <v>90</v>
      </c>
      <c r="O672" s="11"/>
      <c r="P672" s="11">
        <v>42</v>
      </c>
      <c r="Q672" s="11"/>
      <c r="R672" s="11"/>
      <c r="S672" s="11"/>
      <c r="T672" s="11"/>
      <c r="U672" s="11"/>
      <c r="V672" s="11">
        <v>53</v>
      </c>
      <c r="W672" s="11"/>
      <c r="X672" s="11"/>
      <c r="Y672" s="11"/>
      <c r="Z672" s="11"/>
      <c r="AA672" s="11"/>
      <c r="AB672" s="11"/>
      <c r="AC672" s="11">
        <v>185</v>
      </c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>
        <v>185</v>
      </c>
      <c r="AP672" s="11"/>
      <c r="AQ672" s="11"/>
      <c r="AR672" s="11"/>
      <c r="AS672" s="11"/>
      <c r="AT672" s="11"/>
      <c r="AU672" s="20" t="str">
        <f>HYPERLINK("http://www.openstreetmap.org/?mlat=36.5385&amp;mlon=43.2374&amp;zoom=12#map=12/36.5385/43.2374","Maplink1")</f>
        <v>Maplink1</v>
      </c>
      <c r="AV672" s="20" t="str">
        <f>HYPERLINK("https://www.google.iq/maps/search/+36.5385,43.2374/@36.5385,43.2374,14z?hl=en","Maplink2")</f>
        <v>Maplink2</v>
      </c>
      <c r="AW672" s="20" t="str">
        <f>HYPERLINK("http://www.bing.com/maps/?lvl=14&amp;sty=h&amp;cp=36.5385~43.2374&amp;sp=point.36.5385_43.2374","Maplink3")</f>
        <v>Maplink3</v>
      </c>
    </row>
    <row r="673" spans="1:49" s="19" customFormat="1" x14ac:dyDescent="0.25">
      <c r="A673" s="9">
        <v>18366</v>
      </c>
      <c r="B673" s="10" t="s">
        <v>20</v>
      </c>
      <c r="C673" s="10" t="s">
        <v>1005</v>
      </c>
      <c r="D673" s="10" t="s">
        <v>1051</v>
      </c>
      <c r="E673" s="10" t="s">
        <v>1052</v>
      </c>
      <c r="F673" s="10">
        <v>36.396299999999997</v>
      </c>
      <c r="G673" s="10">
        <v>43.192599999999999</v>
      </c>
      <c r="H673" s="11">
        <v>20</v>
      </c>
      <c r="I673" s="11">
        <v>120</v>
      </c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>
        <v>20</v>
      </c>
      <c r="W673" s="11"/>
      <c r="X673" s="11"/>
      <c r="Y673" s="11"/>
      <c r="Z673" s="11"/>
      <c r="AA673" s="11"/>
      <c r="AB673" s="11"/>
      <c r="AC673" s="11">
        <v>20</v>
      </c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>
        <v>20</v>
      </c>
      <c r="AT673" s="11"/>
      <c r="AU673" s="20" t="str">
        <f>HYPERLINK("http://www.openstreetmap.org/?mlat=36.3963&amp;mlon=43.1926&amp;zoom=12#map=12/36.3963/43.1926","Maplink1")</f>
        <v>Maplink1</v>
      </c>
      <c r="AV673" s="20" t="str">
        <f>HYPERLINK("https://www.google.iq/maps/search/+36.3963,43.1926/@36.3963,43.1926,14z?hl=en","Maplink2")</f>
        <v>Maplink2</v>
      </c>
      <c r="AW673" s="20" t="str">
        <f>HYPERLINK("http://www.bing.com/maps/?lvl=14&amp;sty=h&amp;cp=36.3963~43.1926&amp;sp=point.36.3963_43.1926","Maplink3")</f>
        <v>Maplink3</v>
      </c>
    </row>
    <row r="674" spans="1:49" s="19" customFormat="1" x14ac:dyDescent="0.25">
      <c r="A674" s="9">
        <v>31883</v>
      </c>
      <c r="B674" s="10" t="s">
        <v>20</v>
      </c>
      <c r="C674" s="10" t="s">
        <v>1005</v>
      </c>
      <c r="D674" s="10" t="s">
        <v>1053</v>
      </c>
      <c r="E674" s="10" t="s">
        <v>1054</v>
      </c>
      <c r="F674" s="10">
        <v>36.131765999999999</v>
      </c>
      <c r="G674" s="10">
        <v>43.206007</v>
      </c>
      <c r="H674" s="11">
        <v>40</v>
      </c>
      <c r="I674" s="11">
        <v>240</v>
      </c>
      <c r="J674" s="11"/>
      <c r="K674" s="11"/>
      <c r="L674" s="11"/>
      <c r="M674" s="11"/>
      <c r="N674" s="11"/>
      <c r="O674" s="11"/>
      <c r="P674" s="11">
        <v>3</v>
      </c>
      <c r="Q674" s="11"/>
      <c r="R674" s="11"/>
      <c r="S674" s="11"/>
      <c r="T674" s="11"/>
      <c r="U674" s="11"/>
      <c r="V674" s="11">
        <v>37</v>
      </c>
      <c r="W674" s="11"/>
      <c r="X674" s="11"/>
      <c r="Y674" s="11"/>
      <c r="Z674" s="11"/>
      <c r="AA674" s="11"/>
      <c r="AB674" s="11"/>
      <c r="AC674" s="11">
        <v>35</v>
      </c>
      <c r="AD674" s="11"/>
      <c r="AE674" s="11"/>
      <c r="AF674" s="11"/>
      <c r="AG674" s="11"/>
      <c r="AH674" s="11"/>
      <c r="AI674" s="11">
        <v>5</v>
      </c>
      <c r="AJ674" s="11"/>
      <c r="AK674" s="11"/>
      <c r="AL674" s="11"/>
      <c r="AM674" s="11"/>
      <c r="AN674" s="11"/>
      <c r="AO674" s="11"/>
      <c r="AP674" s="11"/>
      <c r="AQ674" s="11"/>
      <c r="AR674" s="11"/>
      <c r="AS674" s="11">
        <v>40</v>
      </c>
      <c r="AT674" s="11"/>
      <c r="AU674" s="20" t="str">
        <f>HYPERLINK("http://www.openstreetmap.org/?mlat=36.1318&amp;mlon=43.206&amp;zoom=12#map=12/36.1318/43.206","Maplink1")</f>
        <v>Maplink1</v>
      </c>
      <c r="AV674" s="20" t="str">
        <f>HYPERLINK("https://www.google.iq/maps/search/+36.1318,43.206/@36.1318,43.206,14z?hl=en","Maplink2")</f>
        <v>Maplink2</v>
      </c>
      <c r="AW674" s="20" t="str">
        <f>HYPERLINK("http://www.bing.com/maps/?lvl=14&amp;sty=h&amp;cp=36.1318~43.206&amp;sp=point.36.1318_43.206","Maplink3")</f>
        <v>Maplink3</v>
      </c>
    </row>
    <row r="675" spans="1:49" s="19" customFormat="1" x14ac:dyDescent="0.25">
      <c r="A675" s="9">
        <v>17127</v>
      </c>
      <c r="B675" s="10" t="s">
        <v>20</v>
      </c>
      <c r="C675" s="10" t="s">
        <v>1005</v>
      </c>
      <c r="D675" s="10" t="s">
        <v>1055</v>
      </c>
      <c r="E675" s="10" t="s">
        <v>1056</v>
      </c>
      <c r="F675" s="10">
        <v>35.797600000000003</v>
      </c>
      <c r="G675" s="10">
        <v>43.293199999999999</v>
      </c>
      <c r="H675" s="11">
        <v>604</v>
      </c>
      <c r="I675" s="11">
        <v>3624</v>
      </c>
      <c r="J675" s="11"/>
      <c r="K675" s="11"/>
      <c r="L675" s="11"/>
      <c r="M675" s="11"/>
      <c r="N675" s="11"/>
      <c r="O675" s="11"/>
      <c r="P675" s="11">
        <v>254</v>
      </c>
      <c r="Q675" s="11"/>
      <c r="R675" s="11">
        <v>150</v>
      </c>
      <c r="S675" s="11"/>
      <c r="T675" s="11"/>
      <c r="U675" s="11"/>
      <c r="V675" s="11">
        <v>200</v>
      </c>
      <c r="W675" s="11"/>
      <c r="X675" s="11"/>
      <c r="Y675" s="11"/>
      <c r="Z675" s="11"/>
      <c r="AA675" s="11"/>
      <c r="AB675" s="11"/>
      <c r="AC675" s="11">
        <v>604</v>
      </c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>
        <v>304</v>
      </c>
      <c r="AR675" s="11">
        <v>200</v>
      </c>
      <c r="AS675" s="11">
        <v>100</v>
      </c>
      <c r="AT675" s="11"/>
      <c r="AU675" s="20" t="str">
        <f>HYPERLINK("http://www.openstreetmap.org/?mlat=35.7976&amp;mlon=43.2932&amp;zoom=12#map=12/35.7976/43.2932","Maplink1")</f>
        <v>Maplink1</v>
      </c>
      <c r="AV675" s="20" t="str">
        <f>HYPERLINK("https://www.google.iq/maps/search/+35.7976,43.2932/@35.7976,43.2932,14z?hl=en","Maplink2")</f>
        <v>Maplink2</v>
      </c>
      <c r="AW675" s="20" t="str">
        <f>HYPERLINK("http://www.bing.com/maps/?lvl=14&amp;sty=h&amp;cp=35.7976~43.2932&amp;sp=point.35.7976_43.2932","Maplink3")</f>
        <v>Maplink3</v>
      </c>
    </row>
    <row r="676" spans="1:49" s="19" customFormat="1" x14ac:dyDescent="0.25">
      <c r="A676" s="9">
        <v>21672</v>
      </c>
      <c r="B676" s="10" t="s">
        <v>20</v>
      </c>
      <c r="C676" s="10" t="s">
        <v>1005</v>
      </c>
      <c r="D676" s="10" t="s">
        <v>1621</v>
      </c>
      <c r="E676" s="10" t="s">
        <v>1622</v>
      </c>
      <c r="F676" s="10">
        <v>36.248551999999997</v>
      </c>
      <c r="G676" s="10">
        <v>43.137788999999998</v>
      </c>
      <c r="H676" s="11">
        <v>20</v>
      </c>
      <c r="I676" s="11">
        <v>120</v>
      </c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>
        <v>20</v>
      </c>
      <c r="W676" s="11"/>
      <c r="X676" s="11"/>
      <c r="Y676" s="11"/>
      <c r="Z676" s="11"/>
      <c r="AA676" s="11"/>
      <c r="AB676" s="11"/>
      <c r="AC676" s="11">
        <v>20</v>
      </c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>
        <v>20</v>
      </c>
      <c r="AT676" s="11"/>
      <c r="AU676" s="20" t="str">
        <f>HYPERLINK("http://www.openstreetmap.org/?mlat=36.2486&amp;mlon=43.1378&amp;zoom=12#map=12/36.2486/43.1378","Maplink1")</f>
        <v>Maplink1</v>
      </c>
      <c r="AV676" s="20" t="str">
        <f>HYPERLINK("https://www.google.iq/maps/search/+36.2486,43.1378/@36.2486,43.1378,14z?hl=en","Maplink2")</f>
        <v>Maplink2</v>
      </c>
      <c r="AW676" s="20" t="str">
        <f>HYPERLINK("http://www.bing.com/maps/?lvl=14&amp;sty=h&amp;cp=36.2486~43.1378&amp;sp=point.36.2486_43.1378","Maplink3")</f>
        <v>Maplink3</v>
      </c>
    </row>
    <row r="677" spans="1:49" s="19" customFormat="1" x14ac:dyDescent="0.25">
      <c r="A677" s="9">
        <v>18013</v>
      </c>
      <c r="B677" s="10" t="s">
        <v>20</v>
      </c>
      <c r="C677" s="10" t="s">
        <v>1005</v>
      </c>
      <c r="D677" s="10" t="s">
        <v>1949</v>
      </c>
      <c r="E677" s="10" t="s">
        <v>1950</v>
      </c>
      <c r="F677" s="10">
        <v>36.178195000000002</v>
      </c>
      <c r="G677" s="10">
        <v>42.736229000000002</v>
      </c>
      <c r="H677" s="11">
        <v>23</v>
      </c>
      <c r="I677" s="11">
        <v>138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>
        <v>23</v>
      </c>
      <c r="W677" s="11"/>
      <c r="X677" s="11"/>
      <c r="Y677" s="11"/>
      <c r="Z677" s="11"/>
      <c r="AA677" s="11"/>
      <c r="AB677" s="11"/>
      <c r="AC677" s="11">
        <v>23</v>
      </c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>
        <v>23</v>
      </c>
      <c r="AT677" s="11"/>
      <c r="AU677" s="20" t="str">
        <f>HYPERLINK("http://www.openstreetmap.org/?mlat=36.1782&amp;mlon=42.7362&amp;zoom=12#map=12/36.1782/42.7362","Maplink1")</f>
        <v>Maplink1</v>
      </c>
      <c r="AV677" s="20" t="str">
        <f>HYPERLINK("https://www.google.iq/maps/search/+36.1782,42.7362/@36.1782,42.7362,14z?hl=en","Maplink2")</f>
        <v>Maplink2</v>
      </c>
      <c r="AW677" s="20" t="str">
        <f>HYPERLINK("http://www.bing.com/maps/?lvl=14&amp;sty=h&amp;cp=36.1782~42.7362&amp;sp=point.36.1782_42.7362","Maplink3")</f>
        <v>Maplink3</v>
      </c>
    </row>
    <row r="678" spans="1:49" s="19" customFormat="1" x14ac:dyDescent="0.25">
      <c r="A678" s="9">
        <v>31773</v>
      </c>
      <c r="B678" s="10" t="s">
        <v>20</v>
      </c>
      <c r="C678" s="10" t="s">
        <v>1005</v>
      </c>
      <c r="D678" s="10" t="s">
        <v>1057</v>
      </c>
      <c r="E678" s="10" t="s">
        <v>1058</v>
      </c>
      <c r="F678" s="10">
        <v>36.152119999999996</v>
      </c>
      <c r="G678" s="10">
        <v>43.253869999999999</v>
      </c>
      <c r="H678" s="11">
        <v>651</v>
      </c>
      <c r="I678" s="11">
        <v>3906</v>
      </c>
      <c r="J678" s="11"/>
      <c r="K678" s="11"/>
      <c r="L678" s="11"/>
      <c r="M678" s="11"/>
      <c r="N678" s="11"/>
      <c r="O678" s="11"/>
      <c r="P678" s="11">
        <v>1</v>
      </c>
      <c r="Q678" s="11"/>
      <c r="R678" s="11"/>
      <c r="S678" s="11"/>
      <c r="T678" s="11"/>
      <c r="U678" s="11"/>
      <c r="V678" s="11">
        <v>650</v>
      </c>
      <c r="W678" s="11"/>
      <c r="X678" s="11"/>
      <c r="Y678" s="11"/>
      <c r="Z678" s="11"/>
      <c r="AA678" s="11"/>
      <c r="AB678" s="11"/>
      <c r="AC678" s="11">
        <v>651</v>
      </c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>
        <v>1</v>
      </c>
      <c r="AO678" s="11"/>
      <c r="AP678" s="11"/>
      <c r="AQ678" s="11"/>
      <c r="AR678" s="11"/>
      <c r="AS678" s="11">
        <v>650</v>
      </c>
      <c r="AT678" s="11"/>
      <c r="AU678" s="20" t="str">
        <f>HYPERLINK("http://www.openstreetmap.org/?mlat=36.1521&amp;mlon=43.2539&amp;zoom=12#map=12/36.1521/43.2539","Maplink1")</f>
        <v>Maplink1</v>
      </c>
      <c r="AV678" s="20" t="str">
        <f>HYPERLINK("https://www.google.iq/maps/search/+36.1521,43.2539/@36.1521,43.2539,14z?hl=en","Maplink2")</f>
        <v>Maplink2</v>
      </c>
      <c r="AW678" s="20" t="str">
        <f>HYPERLINK("http://www.bing.com/maps/?lvl=14&amp;sty=h&amp;cp=36.1521~43.2539&amp;sp=point.36.1521_43.2539","Maplink3")</f>
        <v>Maplink3</v>
      </c>
    </row>
    <row r="679" spans="1:49" s="19" customFormat="1" x14ac:dyDescent="0.25">
      <c r="A679" s="9">
        <v>18416</v>
      </c>
      <c r="B679" s="10" t="s">
        <v>20</v>
      </c>
      <c r="C679" s="10" t="s">
        <v>1005</v>
      </c>
      <c r="D679" s="10" t="s">
        <v>2149</v>
      </c>
      <c r="E679" s="10" t="s">
        <v>520</v>
      </c>
      <c r="F679" s="10">
        <v>36.439422</v>
      </c>
      <c r="G679" s="10">
        <v>42.764766999999999</v>
      </c>
      <c r="H679" s="11">
        <v>30</v>
      </c>
      <c r="I679" s="11">
        <v>180</v>
      </c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>
        <v>30</v>
      </c>
      <c r="W679" s="11"/>
      <c r="X679" s="11"/>
      <c r="Y679" s="11"/>
      <c r="Z679" s="11"/>
      <c r="AA679" s="11"/>
      <c r="AB679" s="11"/>
      <c r="AC679" s="11">
        <v>30</v>
      </c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>
        <v>30</v>
      </c>
      <c r="AU679" s="20" t="str">
        <f>HYPERLINK("http://www.openstreetmap.org/?mlat=36.4394&amp;mlon=42.7648&amp;zoom=12#map=12/36.4394/42.7648","Maplink1")</f>
        <v>Maplink1</v>
      </c>
      <c r="AV679" s="20" t="str">
        <f>HYPERLINK("https://www.google.iq/maps/search/+36.4394,42.7648/@36.4394,42.7648,14z?hl=en","Maplink2")</f>
        <v>Maplink2</v>
      </c>
      <c r="AW679" s="20" t="str">
        <f>HYPERLINK("http://www.bing.com/maps/?lvl=14&amp;sty=h&amp;cp=36.4394~42.7648&amp;sp=point.36.4394_42.7648","Maplink3")</f>
        <v>Maplink3</v>
      </c>
    </row>
    <row r="680" spans="1:49" s="19" customFormat="1" x14ac:dyDescent="0.25">
      <c r="A680" s="9">
        <v>33203</v>
      </c>
      <c r="B680" s="10" t="s">
        <v>20</v>
      </c>
      <c r="C680" s="10" t="s">
        <v>1005</v>
      </c>
      <c r="D680" s="10" t="s">
        <v>2150</v>
      </c>
      <c r="E680" s="10" t="s">
        <v>2151</v>
      </c>
      <c r="F680" s="10">
        <v>36.410803000000001</v>
      </c>
      <c r="G680" s="10">
        <v>42.939337999999999</v>
      </c>
      <c r="H680" s="11">
        <v>115</v>
      </c>
      <c r="I680" s="11">
        <v>690</v>
      </c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>
        <v>115</v>
      </c>
      <c r="W680" s="11"/>
      <c r="X680" s="11"/>
      <c r="Y680" s="11"/>
      <c r="Z680" s="11"/>
      <c r="AA680" s="11"/>
      <c r="AB680" s="11"/>
      <c r="AC680" s="11">
        <v>115</v>
      </c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>
        <v>115</v>
      </c>
      <c r="AT680" s="11"/>
      <c r="AU680" s="20" t="str">
        <f>HYPERLINK("http://www.openstreetmap.org/?mlat=36.4108&amp;mlon=42.9393&amp;zoom=12#map=12/36.4108/42.9393","Maplink1")</f>
        <v>Maplink1</v>
      </c>
      <c r="AV680" s="20" t="str">
        <f>HYPERLINK("https://www.google.iq/maps/search/+36.4108,42.9393/@36.4108,42.9393,14z?hl=en","Maplink2")</f>
        <v>Maplink2</v>
      </c>
      <c r="AW680" s="20" t="str">
        <f>HYPERLINK("http://www.bing.com/maps/?lvl=14&amp;sty=h&amp;cp=36.4108~42.9393&amp;sp=point.36.4108_42.9393","Maplink3")</f>
        <v>Maplink3</v>
      </c>
    </row>
    <row r="681" spans="1:49" s="19" customFormat="1" x14ac:dyDescent="0.25">
      <c r="A681" s="9">
        <v>17180</v>
      </c>
      <c r="B681" s="10" t="s">
        <v>20</v>
      </c>
      <c r="C681" s="10" t="s">
        <v>1005</v>
      </c>
      <c r="D681" s="10" t="s">
        <v>2152</v>
      </c>
      <c r="E681" s="10" t="s">
        <v>2153</v>
      </c>
      <c r="F681" s="10">
        <v>36.432254</v>
      </c>
      <c r="G681" s="10">
        <v>42.861750000000001</v>
      </c>
      <c r="H681" s="11">
        <v>20</v>
      </c>
      <c r="I681" s="11">
        <v>120</v>
      </c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>
        <v>20</v>
      </c>
      <c r="W681" s="11"/>
      <c r="X681" s="11"/>
      <c r="Y681" s="11"/>
      <c r="Z681" s="11"/>
      <c r="AA681" s="11"/>
      <c r="AB681" s="11"/>
      <c r="AC681" s="11">
        <v>20</v>
      </c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>
        <v>20</v>
      </c>
      <c r="AT681" s="11"/>
      <c r="AU681" s="20" t="str">
        <f>HYPERLINK("http://www.openstreetmap.org/?mlat=36.4323&amp;mlon=42.8618&amp;zoom=12#map=12/36.4323/42.8618","Maplink1")</f>
        <v>Maplink1</v>
      </c>
      <c r="AV681" s="20" t="str">
        <f>HYPERLINK("https://www.google.iq/maps/search/+36.4323,42.8618/@36.4323,42.8618,14z?hl=en","Maplink2")</f>
        <v>Maplink2</v>
      </c>
      <c r="AW681" s="20" t="str">
        <f>HYPERLINK("http://www.bing.com/maps/?lvl=14&amp;sty=h&amp;cp=36.4323~42.8618&amp;sp=point.36.4323_42.8618","Maplink3")</f>
        <v>Maplink3</v>
      </c>
    </row>
    <row r="682" spans="1:49" s="19" customFormat="1" x14ac:dyDescent="0.25">
      <c r="A682" s="9">
        <v>33118</v>
      </c>
      <c r="B682" s="10" t="s">
        <v>20</v>
      </c>
      <c r="C682" s="10" t="s">
        <v>1005</v>
      </c>
      <c r="D682" s="10" t="s">
        <v>1623</v>
      </c>
      <c r="E682" s="10" t="s">
        <v>1624</v>
      </c>
      <c r="F682" s="10">
        <v>36.250008999999999</v>
      </c>
      <c r="G682" s="10">
        <v>43.131300000000003</v>
      </c>
      <c r="H682" s="11">
        <v>17</v>
      </c>
      <c r="I682" s="11">
        <v>102</v>
      </c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>
        <v>17</v>
      </c>
      <c r="W682" s="11"/>
      <c r="X682" s="11"/>
      <c r="Y682" s="11"/>
      <c r="Z682" s="11"/>
      <c r="AA682" s="11"/>
      <c r="AB682" s="11"/>
      <c r="AC682" s="11">
        <v>17</v>
      </c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>
        <v>17</v>
      </c>
      <c r="AT682" s="11"/>
      <c r="AU682" s="20" t="str">
        <f>HYPERLINK("http://www.openstreetmap.org/?mlat=36.25&amp;mlon=43.1313&amp;zoom=12#map=12/36.25/43.1313","Maplink1")</f>
        <v>Maplink1</v>
      </c>
      <c r="AV682" s="20" t="str">
        <f>HYPERLINK("https://www.google.iq/maps/search/+36.25,43.1313/@36.25,43.1313,14z?hl=en","Maplink2")</f>
        <v>Maplink2</v>
      </c>
      <c r="AW682" s="20" t="str">
        <f>HYPERLINK("http://www.bing.com/maps/?lvl=14&amp;sty=h&amp;cp=36.25~43.1313&amp;sp=point.36.25_43.1313","Maplink3")</f>
        <v>Maplink3</v>
      </c>
    </row>
    <row r="683" spans="1:49" s="19" customFormat="1" x14ac:dyDescent="0.25">
      <c r="A683" s="9">
        <v>31888</v>
      </c>
      <c r="B683" s="10" t="s">
        <v>20</v>
      </c>
      <c r="C683" s="10" t="s">
        <v>1005</v>
      </c>
      <c r="D683" s="10" t="s">
        <v>1059</v>
      </c>
      <c r="E683" s="10" t="s">
        <v>1060</v>
      </c>
      <c r="F683" s="10">
        <v>36.245513000000003</v>
      </c>
      <c r="G683" s="10">
        <v>43.151176</v>
      </c>
      <c r="H683" s="11">
        <v>18</v>
      </c>
      <c r="I683" s="11">
        <v>108</v>
      </c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>
        <v>18</v>
      </c>
      <c r="W683" s="11"/>
      <c r="X683" s="11"/>
      <c r="Y683" s="11"/>
      <c r="Z683" s="11"/>
      <c r="AA683" s="11"/>
      <c r="AB683" s="11"/>
      <c r="AC683" s="11">
        <v>18</v>
      </c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>
        <v>18</v>
      </c>
      <c r="AT683" s="11"/>
      <c r="AU683" s="20" t="str">
        <f>HYPERLINK("http://www.openstreetmap.org/?mlat=36.2455&amp;mlon=43.1512&amp;zoom=12#map=12/36.2455/43.1512","Maplink1")</f>
        <v>Maplink1</v>
      </c>
      <c r="AV683" s="20" t="str">
        <f>HYPERLINK("https://www.google.iq/maps/search/+36.2455,43.1512/@36.2455,43.1512,14z?hl=en","Maplink2")</f>
        <v>Maplink2</v>
      </c>
      <c r="AW683" s="20" t="str">
        <f>HYPERLINK("http://www.bing.com/maps/?lvl=14&amp;sty=h&amp;cp=36.2455~43.1512&amp;sp=point.36.2455_43.1512","Maplink3")</f>
        <v>Maplink3</v>
      </c>
    </row>
    <row r="684" spans="1:49" s="19" customFormat="1" x14ac:dyDescent="0.25">
      <c r="A684" s="9">
        <v>20933</v>
      </c>
      <c r="B684" s="10" t="s">
        <v>20</v>
      </c>
      <c r="C684" s="10" t="s">
        <v>1005</v>
      </c>
      <c r="D684" s="10" t="s">
        <v>2154</v>
      </c>
      <c r="E684" s="10" t="s">
        <v>2155</v>
      </c>
      <c r="F684" s="10">
        <v>36.373930000000001</v>
      </c>
      <c r="G684" s="10">
        <v>42.932499999999997</v>
      </c>
      <c r="H684" s="11">
        <v>198</v>
      </c>
      <c r="I684" s="11">
        <v>1188</v>
      </c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>
        <v>198</v>
      </c>
      <c r="W684" s="11"/>
      <c r="X684" s="11"/>
      <c r="Y684" s="11"/>
      <c r="Z684" s="11"/>
      <c r="AA684" s="11"/>
      <c r="AB684" s="11"/>
      <c r="AC684" s="11">
        <v>198</v>
      </c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>
        <v>198</v>
      </c>
      <c r="AU684" s="20" t="str">
        <f>HYPERLINK("http://www.openstreetmap.org/?mlat=36.3739&amp;mlon=42.9325&amp;zoom=12#map=12/36.3739/42.9325","Maplink1")</f>
        <v>Maplink1</v>
      </c>
      <c r="AV684" s="20" t="str">
        <f>HYPERLINK("https://www.google.iq/maps/search/+36.3739,42.9325/@36.3739,42.9325,14z?hl=en","Maplink2")</f>
        <v>Maplink2</v>
      </c>
      <c r="AW684" s="20" t="str">
        <f>HYPERLINK("http://www.bing.com/maps/?lvl=14&amp;sty=h&amp;cp=36.3739~42.9325&amp;sp=point.36.3739_42.9325","Maplink3")</f>
        <v>Maplink3</v>
      </c>
    </row>
    <row r="685" spans="1:49" s="19" customFormat="1" x14ac:dyDescent="0.25">
      <c r="A685" s="9">
        <v>23545</v>
      </c>
      <c r="B685" s="10" t="s">
        <v>20</v>
      </c>
      <c r="C685" s="10" t="s">
        <v>1005</v>
      </c>
      <c r="D685" s="10" t="s">
        <v>1061</v>
      </c>
      <c r="E685" s="10" t="s">
        <v>1062</v>
      </c>
      <c r="F685" s="10">
        <v>36.252636000000003</v>
      </c>
      <c r="G685" s="10">
        <v>43.176934000000003</v>
      </c>
      <c r="H685" s="11">
        <v>22</v>
      </c>
      <c r="I685" s="11">
        <v>132</v>
      </c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>
        <v>22</v>
      </c>
      <c r="W685" s="11"/>
      <c r="X685" s="11"/>
      <c r="Y685" s="11"/>
      <c r="Z685" s="11"/>
      <c r="AA685" s="11"/>
      <c r="AB685" s="11"/>
      <c r="AC685" s="11">
        <v>22</v>
      </c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>
        <v>22</v>
      </c>
      <c r="AT685" s="11"/>
      <c r="AU685" s="20" t="str">
        <f>HYPERLINK("http://www.openstreetmap.org/?mlat=36.2526&amp;mlon=43.1769&amp;zoom=12#map=12/36.2526/43.1769","Maplink1")</f>
        <v>Maplink1</v>
      </c>
      <c r="AV685" s="20" t="str">
        <f>HYPERLINK("https://www.google.iq/maps/search/+36.2526,43.1769/@36.2526,43.1769,14z?hl=en","Maplink2")</f>
        <v>Maplink2</v>
      </c>
      <c r="AW685" s="20" t="str">
        <f>HYPERLINK("http://www.bing.com/maps/?lvl=14&amp;sty=h&amp;cp=36.2526~43.1769&amp;sp=point.36.2526_43.1769","Maplink3")</f>
        <v>Maplink3</v>
      </c>
    </row>
    <row r="686" spans="1:49" s="19" customFormat="1" x14ac:dyDescent="0.25">
      <c r="A686" s="9">
        <v>18053</v>
      </c>
      <c r="B686" s="10" t="s">
        <v>20</v>
      </c>
      <c r="C686" s="10" t="s">
        <v>1005</v>
      </c>
      <c r="D686" s="10" t="s">
        <v>1063</v>
      </c>
      <c r="E686" s="10" t="s">
        <v>1064</v>
      </c>
      <c r="F686" s="10">
        <v>35.878512999999998</v>
      </c>
      <c r="G686" s="10">
        <v>43.342401000000002</v>
      </c>
      <c r="H686" s="11">
        <v>60</v>
      </c>
      <c r="I686" s="11">
        <v>360</v>
      </c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>
        <v>60</v>
      </c>
      <c r="W686" s="11"/>
      <c r="X686" s="11"/>
      <c r="Y686" s="11"/>
      <c r="Z686" s="11"/>
      <c r="AA686" s="11"/>
      <c r="AB686" s="11"/>
      <c r="AC686" s="11">
        <v>60</v>
      </c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>
        <v>60</v>
      </c>
      <c r="AT686" s="11"/>
      <c r="AU686" s="20" t="str">
        <f>HYPERLINK("http://www.openstreetmap.org/?mlat=35.8785&amp;mlon=43.3424&amp;zoom=12#map=12/35.8785/43.3424","Maplink1")</f>
        <v>Maplink1</v>
      </c>
      <c r="AV686" s="20" t="str">
        <f>HYPERLINK("https://www.google.iq/maps/search/+35.8785,43.3424/@35.8785,43.3424,14z?hl=en","Maplink2")</f>
        <v>Maplink2</v>
      </c>
      <c r="AW686" s="20" t="str">
        <f>HYPERLINK("http://www.bing.com/maps/?lvl=14&amp;sty=h&amp;cp=35.8785~43.3424&amp;sp=point.35.8785_43.3424","Maplink3")</f>
        <v>Maplink3</v>
      </c>
    </row>
    <row r="687" spans="1:49" s="19" customFormat="1" x14ac:dyDescent="0.25">
      <c r="A687" s="9">
        <v>33181</v>
      </c>
      <c r="B687" s="10" t="s">
        <v>20</v>
      </c>
      <c r="C687" s="10" t="s">
        <v>1005</v>
      </c>
      <c r="D687" s="10" t="s">
        <v>1951</v>
      </c>
      <c r="E687" s="10" t="s">
        <v>1952</v>
      </c>
      <c r="F687" s="10">
        <v>36.158810000000003</v>
      </c>
      <c r="G687" s="10">
        <v>43.082920000000001</v>
      </c>
      <c r="H687" s="11">
        <v>47</v>
      </c>
      <c r="I687" s="11">
        <v>282</v>
      </c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>
        <v>47</v>
      </c>
      <c r="W687" s="11"/>
      <c r="X687" s="11"/>
      <c r="Y687" s="11"/>
      <c r="Z687" s="11"/>
      <c r="AA687" s="11"/>
      <c r="AB687" s="11"/>
      <c r="AC687" s="11">
        <v>47</v>
      </c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>
        <v>47</v>
      </c>
      <c r="AT687" s="11"/>
      <c r="AU687" s="20" t="str">
        <f>HYPERLINK("http://www.openstreetmap.org/?mlat=36.1588&amp;mlon=43.0829&amp;zoom=12#map=12/36.1588/43.0829","Maplink1")</f>
        <v>Maplink1</v>
      </c>
      <c r="AV687" s="20" t="str">
        <f>HYPERLINK("https://www.google.iq/maps/search/+36.1588,43.0829/@36.1588,43.0829,14z?hl=en","Maplink2")</f>
        <v>Maplink2</v>
      </c>
      <c r="AW687" s="20" t="str">
        <f>HYPERLINK("http://www.bing.com/maps/?lvl=14&amp;sty=h&amp;cp=36.1588~43.0829&amp;sp=point.36.1588_43.0829","Maplink3")</f>
        <v>Maplink3</v>
      </c>
    </row>
    <row r="688" spans="1:49" s="19" customFormat="1" x14ac:dyDescent="0.25">
      <c r="A688" s="9">
        <v>31887</v>
      </c>
      <c r="B688" s="10" t="s">
        <v>20</v>
      </c>
      <c r="C688" s="10" t="s">
        <v>1005</v>
      </c>
      <c r="D688" s="10" t="s">
        <v>1065</v>
      </c>
      <c r="E688" s="10" t="s">
        <v>1066</v>
      </c>
      <c r="F688" s="10">
        <v>36.225879999999997</v>
      </c>
      <c r="G688" s="10">
        <v>43.199080000000002</v>
      </c>
      <c r="H688" s="11">
        <v>20</v>
      </c>
      <c r="I688" s="11">
        <v>120</v>
      </c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>
        <v>20</v>
      </c>
      <c r="W688" s="11"/>
      <c r="X688" s="11"/>
      <c r="Y688" s="11"/>
      <c r="Z688" s="11"/>
      <c r="AA688" s="11"/>
      <c r="AB688" s="11"/>
      <c r="AC688" s="11">
        <v>20</v>
      </c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>
        <v>20</v>
      </c>
      <c r="AT688" s="11"/>
      <c r="AU688" s="20" t="str">
        <f>HYPERLINK("http://www.openstreetmap.org/?mlat=36.2259&amp;mlon=43.1991&amp;zoom=12#map=12/36.2259/43.1991","Maplink1")</f>
        <v>Maplink1</v>
      </c>
      <c r="AV688" s="20" t="str">
        <f>HYPERLINK("https://www.google.iq/maps/search/+36.2259,43.1991/@36.2259,43.1991,14z?hl=en","Maplink2")</f>
        <v>Maplink2</v>
      </c>
      <c r="AW688" s="20" t="str">
        <f>HYPERLINK("http://www.bing.com/maps/?lvl=14&amp;sty=h&amp;cp=36.2259~43.1991&amp;sp=point.36.2259_43.1991","Maplink3")</f>
        <v>Maplink3</v>
      </c>
    </row>
    <row r="689" spans="1:49" s="19" customFormat="1" x14ac:dyDescent="0.25">
      <c r="A689" s="9">
        <v>28435</v>
      </c>
      <c r="B689" s="10" t="s">
        <v>20</v>
      </c>
      <c r="C689" s="10" t="s">
        <v>1005</v>
      </c>
      <c r="D689" s="10" t="s">
        <v>2156</v>
      </c>
      <c r="E689" s="10" t="s">
        <v>2157</v>
      </c>
      <c r="F689" s="10">
        <v>36.422922999999997</v>
      </c>
      <c r="G689" s="10">
        <v>42.768673</v>
      </c>
      <c r="H689" s="11">
        <v>665</v>
      </c>
      <c r="I689" s="11">
        <v>3990</v>
      </c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>
        <v>665</v>
      </c>
      <c r="W689" s="11"/>
      <c r="X689" s="11"/>
      <c r="Y689" s="11"/>
      <c r="Z689" s="11"/>
      <c r="AA689" s="11"/>
      <c r="AB689" s="11"/>
      <c r="AC689" s="11">
        <v>665</v>
      </c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>
        <v>665</v>
      </c>
      <c r="AU689" s="20" t="str">
        <f>HYPERLINK("http://www.openstreetmap.org/?mlat=36.4229&amp;mlon=42.7687&amp;zoom=12#map=12/36.4229/42.7687","Maplink1")</f>
        <v>Maplink1</v>
      </c>
      <c r="AV689" s="20" t="str">
        <f>HYPERLINK("https://www.google.iq/maps/search/+36.4229,42.7687/@36.4229,42.7687,14z?hl=en","Maplink2")</f>
        <v>Maplink2</v>
      </c>
      <c r="AW689" s="20" t="str">
        <f>HYPERLINK("http://www.bing.com/maps/?lvl=14&amp;sty=h&amp;cp=36.4229~42.7687&amp;sp=point.36.4229_42.7687","Maplink3")</f>
        <v>Maplink3</v>
      </c>
    </row>
    <row r="690" spans="1:49" s="19" customFormat="1" x14ac:dyDescent="0.25">
      <c r="A690" s="9">
        <v>28434</v>
      </c>
      <c r="B690" s="10" t="s">
        <v>20</v>
      </c>
      <c r="C690" s="10" t="s">
        <v>1005</v>
      </c>
      <c r="D690" s="10" t="s">
        <v>2158</v>
      </c>
      <c r="E690" s="10" t="s">
        <v>2159</v>
      </c>
      <c r="F690" s="10">
        <v>36.434800000000003</v>
      </c>
      <c r="G690" s="10">
        <v>42.799199999999999</v>
      </c>
      <c r="H690" s="11">
        <v>230</v>
      </c>
      <c r="I690" s="11">
        <v>1380</v>
      </c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>
        <v>230</v>
      </c>
      <c r="W690" s="11"/>
      <c r="X690" s="11"/>
      <c r="Y690" s="11"/>
      <c r="Z690" s="11"/>
      <c r="AA690" s="11"/>
      <c r="AB690" s="11"/>
      <c r="AC690" s="11">
        <v>230</v>
      </c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>
        <v>230</v>
      </c>
      <c r="AU690" s="20" t="str">
        <f>HYPERLINK("http://www.openstreetmap.org/?mlat=36.4348&amp;mlon=42.7992&amp;zoom=12#map=12/36.4348/42.7992","Maplink1")</f>
        <v>Maplink1</v>
      </c>
      <c r="AV690" s="20" t="str">
        <f>HYPERLINK("https://www.google.iq/maps/search/+36.4348,42.7992/@36.4348,42.7992,14z?hl=en","Maplink2")</f>
        <v>Maplink2</v>
      </c>
      <c r="AW690" s="20" t="str">
        <f>HYPERLINK("http://www.bing.com/maps/?lvl=14&amp;sty=h&amp;cp=36.4348~42.7992&amp;sp=point.36.4348_42.7992","Maplink3")</f>
        <v>Maplink3</v>
      </c>
    </row>
    <row r="691" spans="1:49" s="19" customFormat="1" x14ac:dyDescent="0.25">
      <c r="A691" s="9">
        <v>18345</v>
      </c>
      <c r="B691" s="10" t="s">
        <v>20</v>
      </c>
      <c r="C691" s="10" t="s">
        <v>1005</v>
      </c>
      <c r="D691" s="10" t="s">
        <v>2160</v>
      </c>
      <c r="E691" s="10" t="s">
        <v>2161</v>
      </c>
      <c r="F691" s="10">
        <v>36.455306</v>
      </c>
      <c r="G691" s="10">
        <v>42.873854999999999</v>
      </c>
      <c r="H691" s="11">
        <v>9</v>
      </c>
      <c r="I691" s="11">
        <v>54</v>
      </c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>
        <v>9</v>
      </c>
      <c r="W691" s="11"/>
      <c r="X691" s="11"/>
      <c r="Y691" s="11"/>
      <c r="Z691" s="11"/>
      <c r="AA691" s="11"/>
      <c r="AB691" s="11"/>
      <c r="AC691" s="11">
        <v>9</v>
      </c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>
        <v>9</v>
      </c>
      <c r="AT691" s="11"/>
      <c r="AU691" s="20" t="str">
        <f>HYPERLINK("http://www.openstreetmap.org/?mlat=36.4553&amp;mlon=42.8739&amp;zoom=12#map=12/36.4553/42.8739","Maplink1")</f>
        <v>Maplink1</v>
      </c>
      <c r="AV691" s="20" t="str">
        <f>HYPERLINK("https://www.google.iq/maps/search/+36.4553,42.8739/@36.4553,42.8739,14z?hl=en","Maplink2")</f>
        <v>Maplink2</v>
      </c>
      <c r="AW691" s="20" t="str">
        <f>HYPERLINK("http://www.bing.com/maps/?lvl=14&amp;sty=h&amp;cp=36.4553~42.8739&amp;sp=point.36.4553_42.8739","Maplink3")</f>
        <v>Maplink3</v>
      </c>
    </row>
    <row r="692" spans="1:49" s="19" customFormat="1" x14ac:dyDescent="0.25">
      <c r="A692" s="9">
        <v>29667</v>
      </c>
      <c r="B692" s="10" t="s">
        <v>20</v>
      </c>
      <c r="C692" s="10" t="s">
        <v>1005</v>
      </c>
      <c r="D692" s="10" t="s">
        <v>1067</v>
      </c>
      <c r="E692" s="10" t="s">
        <v>1068</v>
      </c>
      <c r="F692" s="10">
        <v>35.9086</v>
      </c>
      <c r="G692" s="10">
        <v>43.31803</v>
      </c>
      <c r="H692" s="11">
        <v>158</v>
      </c>
      <c r="I692" s="11">
        <v>948</v>
      </c>
      <c r="J692" s="11"/>
      <c r="K692" s="11"/>
      <c r="L692" s="11"/>
      <c r="M692" s="11"/>
      <c r="N692" s="11">
        <v>1</v>
      </c>
      <c r="O692" s="11"/>
      <c r="P692" s="11"/>
      <c r="Q692" s="11"/>
      <c r="R692" s="11"/>
      <c r="S692" s="11"/>
      <c r="T692" s="11"/>
      <c r="U692" s="11"/>
      <c r="V692" s="11">
        <v>157</v>
      </c>
      <c r="W692" s="11"/>
      <c r="X692" s="11"/>
      <c r="Y692" s="11"/>
      <c r="Z692" s="11"/>
      <c r="AA692" s="11"/>
      <c r="AB692" s="11"/>
      <c r="AC692" s="11">
        <v>158</v>
      </c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>
        <v>1</v>
      </c>
      <c r="AO692" s="11"/>
      <c r="AP692" s="11"/>
      <c r="AQ692" s="11"/>
      <c r="AR692" s="11"/>
      <c r="AS692" s="11">
        <v>157</v>
      </c>
      <c r="AT692" s="11"/>
      <c r="AU692" s="20" t="str">
        <f>HYPERLINK("http://www.openstreetmap.org/?mlat=35.9086&amp;mlon=43.318&amp;zoom=12#map=12/35.9086/43.318","Maplink1")</f>
        <v>Maplink1</v>
      </c>
      <c r="AV692" s="20" t="str">
        <f>HYPERLINK("https://www.google.iq/maps/search/+35.9086,43.318/@35.9086,43.318,14z?hl=en","Maplink2")</f>
        <v>Maplink2</v>
      </c>
      <c r="AW692" s="20" t="str">
        <f>HYPERLINK("http://www.bing.com/maps/?lvl=14&amp;sty=h&amp;cp=35.9086~43.318&amp;sp=point.35.9086_43.318","Maplink3")</f>
        <v>Maplink3</v>
      </c>
    </row>
    <row r="693" spans="1:49" s="19" customFormat="1" x14ac:dyDescent="0.25">
      <c r="A693" s="9">
        <v>17574</v>
      </c>
      <c r="B693" s="10" t="s">
        <v>20</v>
      </c>
      <c r="C693" s="10" t="s">
        <v>1005</v>
      </c>
      <c r="D693" s="10" t="s">
        <v>1069</v>
      </c>
      <c r="E693" s="10" t="s">
        <v>1070</v>
      </c>
      <c r="F693" s="10">
        <v>36.513199999999998</v>
      </c>
      <c r="G693" s="10">
        <v>42.736800000000002</v>
      </c>
      <c r="H693" s="11">
        <v>20</v>
      </c>
      <c r="I693" s="11">
        <v>120</v>
      </c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>
        <v>20</v>
      </c>
      <c r="W693" s="11"/>
      <c r="X693" s="11"/>
      <c r="Y693" s="11"/>
      <c r="Z693" s="11"/>
      <c r="AA693" s="11"/>
      <c r="AB693" s="11"/>
      <c r="AC693" s="11">
        <v>20</v>
      </c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>
        <v>20</v>
      </c>
      <c r="AR693" s="11"/>
      <c r="AS693" s="11"/>
      <c r="AT693" s="11"/>
      <c r="AU693" s="20" t="str">
        <f>HYPERLINK("http://www.openstreetmap.org/?mlat=36.5132&amp;mlon=42.7368&amp;zoom=12#map=12/36.5132/42.7368","Maplink1")</f>
        <v>Maplink1</v>
      </c>
      <c r="AV693" s="20" t="str">
        <f>HYPERLINK("https://www.google.iq/maps/search/+36.5132,42.7368/@36.5132,42.7368,14z?hl=en","Maplink2")</f>
        <v>Maplink2</v>
      </c>
      <c r="AW693" s="20" t="str">
        <f>HYPERLINK("http://www.bing.com/maps/?lvl=14&amp;sty=h&amp;cp=36.5132~42.7368&amp;sp=point.36.5132_42.7368","Maplink3")</f>
        <v>Maplink3</v>
      </c>
    </row>
    <row r="694" spans="1:49" s="19" customFormat="1" x14ac:dyDescent="0.25">
      <c r="A694" s="9">
        <v>33208</v>
      </c>
      <c r="B694" s="10" t="s">
        <v>20</v>
      </c>
      <c r="C694" s="10" t="s">
        <v>1005</v>
      </c>
      <c r="D694" s="10" t="s">
        <v>1953</v>
      </c>
      <c r="E694" s="10" t="s">
        <v>1954</v>
      </c>
      <c r="F694" s="10">
        <v>35.956183000000003</v>
      </c>
      <c r="G694" s="10">
        <v>42.707754999999999</v>
      </c>
      <c r="H694" s="11">
        <v>6</v>
      </c>
      <c r="I694" s="11">
        <v>36</v>
      </c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>
        <v>6</v>
      </c>
      <c r="W694" s="11"/>
      <c r="X694" s="11"/>
      <c r="Y694" s="11"/>
      <c r="Z694" s="11"/>
      <c r="AA694" s="11"/>
      <c r="AB694" s="11"/>
      <c r="AC694" s="11">
        <v>6</v>
      </c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>
        <v>6</v>
      </c>
      <c r="AT694" s="11"/>
      <c r="AU694" s="20" t="str">
        <f>HYPERLINK("http://www.openstreetmap.org/?mlat=35.9562&amp;mlon=42.7078&amp;zoom=12#map=12/35.9562/42.7078","Maplink1")</f>
        <v>Maplink1</v>
      </c>
      <c r="AV694" s="20" t="str">
        <f>HYPERLINK("https://www.google.iq/maps/search/+35.9562,42.7078/@35.9562,42.7078,14z?hl=en","Maplink2")</f>
        <v>Maplink2</v>
      </c>
      <c r="AW694" s="20" t="str">
        <f>HYPERLINK("http://www.bing.com/maps/?lvl=14&amp;sty=h&amp;cp=35.9562~42.7078&amp;sp=point.35.9562_42.7078","Maplink3")</f>
        <v>Maplink3</v>
      </c>
    </row>
    <row r="695" spans="1:49" s="19" customFormat="1" x14ac:dyDescent="0.25">
      <c r="A695" s="9">
        <v>33166</v>
      </c>
      <c r="B695" s="10" t="s">
        <v>20</v>
      </c>
      <c r="C695" s="10" t="s">
        <v>1005</v>
      </c>
      <c r="D695" s="10" t="s">
        <v>1774</v>
      </c>
      <c r="E695" s="10" t="s">
        <v>1775</v>
      </c>
      <c r="F695" s="10">
        <v>36.143732999999997</v>
      </c>
      <c r="G695" s="10">
        <v>42.958674000000002</v>
      </c>
      <c r="H695" s="11">
        <v>300</v>
      </c>
      <c r="I695" s="11">
        <v>1800</v>
      </c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>
        <v>300</v>
      </c>
      <c r="W695" s="11"/>
      <c r="X695" s="11"/>
      <c r="Y695" s="11"/>
      <c r="Z695" s="11"/>
      <c r="AA695" s="11"/>
      <c r="AB695" s="11"/>
      <c r="AC695" s="11">
        <v>300</v>
      </c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>
        <v>300</v>
      </c>
      <c r="AT695" s="11"/>
      <c r="AU695" s="20" t="str">
        <f>HYPERLINK("http://www.openstreetmap.org/?mlat=36.1437&amp;mlon=42.9587&amp;zoom=12#map=12/36.1437/42.9587","Maplink1")</f>
        <v>Maplink1</v>
      </c>
      <c r="AV695" s="20" t="str">
        <f>HYPERLINK("https://www.google.iq/maps/search/+36.1437,42.9587/@36.1437,42.9587,14z?hl=en","Maplink2")</f>
        <v>Maplink2</v>
      </c>
      <c r="AW695" s="20" t="str">
        <f>HYPERLINK("http://www.bing.com/maps/?lvl=14&amp;sty=h&amp;cp=36.1437~42.9587&amp;sp=point.36.1437_42.9587","Maplink3")</f>
        <v>Maplink3</v>
      </c>
    </row>
    <row r="696" spans="1:49" s="19" customFormat="1" x14ac:dyDescent="0.25">
      <c r="A696" s="9">
        <v>31912</v>
      </c>
      <c r="B696" s="10" t="s">
        <v>20</v>
      </c>
      <c r="C696" s="10" t="s">
        <v>1005</v>
      </c>
      <c r="D696" s="10" t="s">
        <v>1071</v>
      </c>
      <c r="E696" s="10" t="s">
        <v>1072</v>
      </c>
      <c r="F696" s="10">
        <v>36.457312000000002</v>
      </c>
      <c r="G696" s="10">
        <v>43.339418000000002</v>
      </c>
      <c r="H696" s="11">
        <v>1636</v>
      </c>
      <c r="I696" s="11">
        <v>9816</v>
      </c>
      <c r="J696" s="11"/>
      <c r="K696" s="11"/>
      <c r="L696" s="11"/>
      <c r="M696" s="11"/>
      <c r="N696" s="11">
        <v>805</v>
      </c>
      <c r="O696" s="11"/>
      <c r="P696" s="11">
        <v>67</v>
      </c>
      <c r="Q696" s="11"/>
      <c r="R696" s="11"/>
      <c r="S696" s="11"/>
      <c r="T696" s="11"/>
      <c r="U696" s="11"/>
      <c r="V696" s="11">
        <v>764</v>
      </c>
      <c r="W696" s="11"/>
      <c r="X696" s="11"/>
      <c r="Y696" s="11"/>
      <c r="Z696" s="11"/>
      <c r="AA696" s="11"/>
      <c r="AB696" s="11"/>
      <c r="AC696" s="11">
        <v>1636</v>
      </c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>
        <v>1636</v>
      </c>
      <c r="AP696" s="11"/>
      <c r="AQ696" s="11"/>
      <c r="AR696" s="11"/>
      <c r="AS696" s="11"/>
      <c r="AT696" s="11"/>
      <c r="AU696" s="20" t="str">
        <f>HYPERLINK("http://www.openstreetmap.org/?mlat=36.4573&amp;mlon=43.3394&amp;zoom=12#map=12/36.4573/43.3394","Maplink1")</f>
        <v>Maplink1</v>
      </c>
      <c r="AV696" s="20" t="str">
        <f>HYPERLINK("https://www.google.iq/maps/search/+36.4573,43.3394/@36.4573,43.3394,14z?hl=en","Maplink2")</f>
        <v>Maplink2</v>
      </c>
      <c r="AW696" s="20" t="str">
        <f>HYPERLINK("http://www.bing.com/maps/?lvl=14&amp;sty=h&amp;cp=36.4573~43.3394&amp;sp=point.36.4573_43.3394","Maplink3")</f>
        <v>Maplink3</v>
      </c>
    </row>
    <row r="697" spans="1:49" s="19" customFormat="1" x14ac:dyDescent="0.25">
      <c r="A697" s="9">
        <v>31894</v>
      </c>
      <c r="B697" s="10" t="s">
        <v>20</v>
      </c>
      <c r="C697" s="10" t="s">
        <v>1005</v>
      </c>
      <c r="D697" s="10" t="s">
        <v>1073</v>
      </c>
      <c r="E697" s="10" t="s">
        <v>1074</v>
      </c>
      <c r="F697" s="10">
        <v>36.533529999999999</v>
      </c>
      <c r="G697" s="10">
        <v>43.228180000000002</v>
      </c>
      <c r="H697" s="11">
        <v>315</v>
      </c>
      <c r="I697" s="11">
        <v>1890</v>
      </c>
      <c r="J697" s="11"/>
      <c r="K697" s="11"/>
      <c r="L697" s="11"/>
      <c r="M697" s="11"/>
      <c r="N697" s="11">
        <v>50</v>
      </c>
      <c r="O697" s="11"/>
      <c r="P697" s="11">
        <v>20</v>
      </c>
      <c r="Q697" s="11"/>
      <c r="R697" s="11"/>
      <c r="S697" s="11"/>
      <c r="T697" s="11"/>
      <c r="U697" s="11"/>
      <c r="V697" s="11">
        <v>245</v>
      </c>
      <c r="W697" s="11"/>
      <c r="X697" s="11"/>
      <c r="Y697" s="11"/>
      <c r="Z697" s="11"/>
      <c r="AA697" s="11"/>
      <c r="AB697" s="11"/>
      <c r="AC697" s="11">
        <v>315</v>
      </c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>
        <v>315</v>
      </c>
      <c r="AP697" s="11"/>
      <c r="AQ697" s="11"/>
      <c r="AR697" s="11"/>
      <c r="AS697" s="11"/>
      <c r="AT697" s="11"/>
      <c r="AU697" s="20" t="str">
        <f>HYPERLINK("http://www.openstreetmap.org/?mlat=36.5335&amp;mlon=43.2282&amp;zoom=12#map=12/36.5335/43.2282","Maplink1")</f>
        <v>Maplink1</v>
      </c>
      <c r="AV697" s="20" t="str">
        <f>HYPERLINK("https://www.google.iq/maps/search/+36.5335,43.2282/@36.5335,43.2282,14z?hl=en","Maplink2")</f>
        <v>Maplink2</v>
      </c>
      <c r="AW697" s="20" t="str">
        <f>HYPERLINK("http://www.bing.com/maps/?lvl=14&amp;sty=h&amp;cp=36.5335~43.2282&amp;sp=point.36.5335_43.2282","Maplink3")</f>
        <v>Maplink3</v>
      </c>
    </row>
    <row r="698" spans="1:49" s="19" customFormat="1" x14ac:dyDescent="0.25">
      <c r="A698" s="9">
        <v>21607</v>
      </c>
      <c r="B698" s="10" t="s">
        <v>20</v>
      </c>
      <c r="C698" s="10" t="s">
        <v>1005</v>
      </c>
      <c r="D698" s="10" t="s">
        <v>1075</v>
      </c>
      <c r="E698" s="10" t="s">
        <v>1076</v>
      </c>
      <c r="F698" s="10">
        <v>36.453094</v>
      </c>
      <c r="G698" s="10">
        <v>43.348266000000002</v>
      </c>
      <c r="H698" s="11">
        <v>1574</v>
      </c>
      <c r="I698" s="11">
        <v>9444</v>
      </c>
      <c r="J698" s="11"/>
      <c r="K698" s="11">
        <v>1</v>
      </c>
      <c r="L698" s="11">
        <v>1</v>
      </c>
      <c r="M698" s="11"/>
      <c r="N698" s="11">
        <v>876</v>
      </c>
      <c r="O698" s="11"/>
      <c r="P698" s="11">
        <v>145</v>
      </c>
      <c r="Q698" s="11"/>
      <c r="R698" s="11">
        <v>3</v>
      </c>
      <c r="S698" s="11"/>
      <c r="T698" s="11"/>
      <c r="U698" s="11"/>
      <c r="V698" s="11">
        <v>542</v>
      </c>
      <c r="W698" s="11"/>
      <c r="X698" s="11"/>
      <c r="Y698" s="11">
        <v>5</v>
      </c>
      <c r="Z698" s="11"/>
      <c r="AA698" s="11">
        <v>1</v>
      </c>
      <c r="AB698" s="11"/>
      <c r="AC698" s="11">
        <v>1574</v>
      </c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>
        <v>1574</v>
      </c>
      <c r="AP698" s="11"/>
      <c r="AQ698" s="11"/>
      <c r="AR698" s="11"/>
      <c r="AS698" s="11"/>
      <c r="AT698" s="11"/>
      <c r="AU698" s="20" t="str">
        <f>HYPERLINK("http://www.openstreetmap.org/?mlat=36.4531&amp;mlon=43.3483&amp;zoom=12#map=12/36.4531/43.3483","Maplink1")</f>
        <v>Maplink1</v>
      </c>
      <c r="AV698" s="20" t="str">
        <f>HYPERLINK("https://www.google.iq/maps/search/+36.4531,43.3483/@36.4531,43.3483,14z?hl=en","Maplink2")</f>
        <v>Maplink2</v>
      </c>
      <c r="AW698" s="20" t="str">
        <f>HYPERLINK("http://www.bing.com/maps/?lvl=14&amp;sty=h&amp;cp=36.4531~43.3483&amp;sp=point.36.4531_43.3483","Maplink3")</f>
        <v>Maplink3</v>
      </c>
    </row>
    <row r="699" spans="1:49" s="19" customFormat="1" x14ac:dyDescent="0.25">
      <c r="A699" s="9">
        <v>22652</v>
      </c>
      <c r="B699" s="10" t="s">
        <v>20</v>
      </c>
      <c r="C699" s="10" t="s">
        <v>1005</v>
      </c>
      <c r="D699" s="10" t="s">
        <v>1077</v>
      </c>
      <c r="E699" s="10" t="s">
        <v>1078</v>
      </c>
      <c r="F699" s="10">
        <v>36.461762</v>
      </c>
      <c r="G699" s="10">
        <v>43.217936999999999</v>
      </c>
      <c r="H699" s="11">
        <v>465</v>
      </c>
      <c r="I699" s="11">
        <v>2790</v>
      </c>
      <c r="J699" s="11"/>
      <c r="K699" s="11">
        <v>32</v>
      </c>
      <c r="L699" s="11"/>
      <c r="M699" s="11"/>
      <c r="N699" s="11">
        <v>79</v>
      </c>
      <c r="O699" s="11"/>
      <c r="P699" s="11">
        <v>5</v>
      </c>
      <c r="Q699" s="11"/>
      <c r="R699" s="11"/>
      <c r="S699" s="11"/>
      <c r="T699" s="11"/>
      <c r="U699" s="11">
        <v>42</v>
      </c>
      <c r="V699" s="11">
        <v>290</v>
      </c>
      <c r="W699" s="11"/>
      <c r="X699" s="11"/>
      <c r="Y699" s="11"/>
      <c r="Z699" s="11">
        <v>2</v>
      </c>
      <c r="AA699" s="11">
        <v>15</v>
      </c>
      <c r="AB699" s="11"/>
      <c r="AC699" s="11">
        <v>465</v>
      </c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>
        <v>425</v>
      </c>
      <c r="AP699" s="11"/>
      <c r="AQ699" s="11"/>
      <c r="AR699" s="11"/>
      <c r="AS699" s="11">
        <v>40</v>
      </c>
      <c r="AT699" s="11"/>
      <c r="AU699" s="20" t="str">
        <f>HYPERLINK("http://www.openstreetmap.org/?mlat=36.4618&amp;mlon=43.2179&amp;zoom=12#map=12/36.4618/43.2179","Maplink1")</f>
        <v>Maplink1</v>
      </c>
      <c r="AV699" s="20" t="str">
        <f>HYPERLINK("https://www.google.iq/maps/search/+36.4618,43.2179/@36.4618,43.2179,14z?hl=en","Maplink2")</f>
        <v>Maplink2</v>
      </c>
      <c r="AW699" s="20" t="str">
        <f>HYPERLINK("http://www.bing.com/maps/?lvl=14&amp;sty=h&amp;cp=36.4618~43.2179&amp;sp=point.36.4618_43.2179","Maplink3")</f>
        <v>Maplink3</v>
      </c>
    </row>
    <row r="700" spans="1:49" s="19" customFormat="1" x14ac:dyDescent="0.25">
      <c r="A700" s="9">
        <v>17382</v>
      </c>
      <c r="B700" s="10" t="s">
        <v>20</v>
      </c>
      <c r="C700" s="10" t="s">
        <v>1005</v>
      </c>
      <c r="D700" s="10" t="s">
        <v>1079</v>
      </c>
      <c r="E700" s="10" t="s">
        <v>1080</v>
      </c>
      <c r="F700" s="10">
        <v>36.368735000000001</v>
      </c>
      <c r="G700" s="10">
        <v>43.294915000000003</v>
      </c>
      <c r="H700" s="11">
        <v>2000</v>
      </c>
      <c r="I700" s="11">
        <v>12000</v>
      </c>
      <c r="J700" s="11"/>
      <c r="K700" s="11">
        <v>60</v>
      </c>
      <c r="L700" s="11">
        <v>143</v>
      </c>
      <c r="M700" s="11"/>
      <c r="N700" s="11">
        <v>20</v>
      </c>
      <c r="O700" s="11"/>
      <c r="P700" s="11">
        <v>1263</v>
      </c>
      <c r="Q700" s="11">
        <v>126</v>
      </c>
      <c r="R700" s="11"/>
      <c r="S700" s="11"/>
      <c r="T700" s="11"/>
      <c r="U700" s="11">
        <v>83</v>
      </c>
      <c r="V700" s="11">
        <v>73</v>
      </c>
      <c r="W700" s="11"/>
      <c r="X700" s="11"/>
      <c r="Y700" s="11">
        <v>9</v>
      </c>
      <c r="Z700" s="11"/>
      <c r="AA700" s="11">
        <v>223</v>
      </c>
      <c r="AB700" s="11"/>
      <c r="AC700" s="11">
        <v>2000</v>
      </c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>
        <v>1980</v>
      </c>
      <c r="AP700" s="11"/>
      <c r="AQ700" s="11"/>
      <c r="AR700" s="11"/>
      <c r="AS700" s="11">
        <v>20</v>
      </c>
      <c r="AT700" s="11"/>
      <c r="AU700" s="20" t="str">
        <f>HYPERLINK("http://www.openstreetmap.org/?mlat=36.3687&amp;mlon=43.2949&amp;zoom=12#map=12/36.3687/43.2949","Maplink1")</f>
        <v>Maplink1</v>
      </c>
      <c r="AV700" s="20" t="str">
        <f>HYPERLINK("https://www.google.iq/maps/search/+36.3687,43.2949/@36.3687,43.2949,14z?hl=en","Maplink2")</f>
        <v>Maplink2</v>
      </c>
      <c r="AW700" s="20" t="str">
        <f>HYPERLINK("http://www.bing.com/maps/?lvl=14&amp;sty=h&amp;cp=36.3687~43.2949&amp;sp=point.36.3687_43.2949","Maplink3")</f>
        <v>Maplink3</v>
      </c>
    </row>
    <row r="701" spans="1:49" s="19" customFormat="1" x14ac:dyDescent="0.25">
      <c r="A701" s="9">
        <v>22440</v>
      </c>
      <c r="B701" s="10" t="s">
        <v>20</v>
      </c>
      <c r="C701" s="10" t="s">
        <v>1005</v>
      </c>
      <c r="D701" s="10" t="s">
        <v>1081</v>
      </c>
      <c r="E701" s="10" t="s">
        <v>1082</v>
      </c>
      <c r="F701" s="10">
        <v>36.491095999999999</v>
      </c>
      <c r="G701" s="10">
        <v>43.215800999999999</v>
      </c>
      <c r="H701" s="11">
        <v>84</v>
      </c>
      <c r="I701" s="11">
        <v>504</v>
      </c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>
        <v>84</v>
      </c>
      <c r="W701" s="11"/>
      <c r="X701" s="11"/>
      <c r="Y701" s="11"/>
      <c r="Z701" s="11"/>
      <c r="AA701" s="11"/>
      <c r="AB701" s="11"/>
      <c r="AC701" s="11">
        <v>84</v>
      </c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>
        <v>28</v>
      </c>
      <c r="AS701" s="11">
        <v>56</v>
      </c>
      <c r="AT701" s="11"/>
      <c r="AU701" s="20" t="str">
        <f>HYPERLINK("http://www.openstreetmap.org/?mlat=36.4911&amp;mlon=43.2158&amp;zoom=12#map=12/36.4911/43.2158","Maplink1")</f>
        <v>Maplink1</v>
      </c>
      <c r="AV701" s="20" t="str">
        <f>HYPERLINK("https://www.google.iq/maps/search/+36.4911,43.2158/@36.4911,43.2158,14z?hl=en","Maplink2")</f>
        <v>Maplink2</v>
      </c>
      <c r="AW701" s="20" t="str">
        <f>HYPERLINK("http://www.bing.com/maps/?lvl=14&amp;sty=h&amp;cp=36.4911~43.2158&amp;sp=point.36.4911_43.2158","Maplink3")</f>
        <v>Maplink3</v>
      </c>
    </row>
    <row r="702" spans="1:49" s="19" customFormat="1" x14ac:dyDescent="0.25">
      <c r="A702" s="9">
        <v>22315</v>
      </c>
      <c r="B702" s="10" t="s">
        <v>20</v>
      </c>
      <c r="C702" s="10" t="s">
        <v>1005</v>
      </c>
      <c r="D702" s="10" t="s">
        <v>1083</v>
      </c>
      <c r="E702" s="10" t="s">
        <v>484</v>
      </c>
      <c r="F702" s="10">
        <v>36.424000999999997</v>
      </c>
      <c r="G702" s="10">
        <v>43.299146</v>
      </c>
      <c r="H702" s="11">
        <v>600</v>
      </c>
      <c r="I702" s="11">
        <v>3600</v>
      </c>
      <c r="J702" s="11"/>
      <c r="K702" s="11">
        <v>29</v>
      </c>
      <c r="L702" s="11">
        <v>19</v>
      </c>
      <c r="M702" s="11"/>
      <c r="N702" s="11">
        <v>1</v>
      </c>
      <c r="O702" s="11"/>
      <c r="P702" s="11">
        <v>41</v>
      </c>
      <c r="Q702" s="11">
        <v>1</v>
      </c>
      <c r="R702" s="11"/>
      <c r="S702" s="11"/>
      <c r="T702" s="11"/>
      <c r="U702" s="11">
        <v>6</v>
      </c>
      <c r="V702" s="11">
        <v>450</v>
      </c>
      <c r="W702" s="11"/>
      <c r="X702" s="11"/>
      <c r="Y702" s="11">
        <v>21</v>
      </c>
      <c r="Z702" s="11">
        <v>5</v>
      </c>
      <c r="AA702" s="11">
        <v>27</v>
      </c>
      <c r="AB702" s="11"/>
      <c r="AC702" s="11">
        <v>600</v>
      </c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>
        <v>600</v>
      </c>
      <c r="AP702" s="11"/>
      <c r="AQ702" s="11"/>
      <c r="AR702" s="11"/>
      <c r="AS702" s="11"/>
      <c r="AT702" s="11"/>
      <c r="AU702" s="20" t="str">
        <f>HYPERLINK("http://www.openstreetmap.org/?mlat=36.424&amp;mlon=43.2991&amp;zoom=12#map=12/36.424/43.2991","Maplink1")</f>
        <v>Maplink1</v>
      </c>
      <c r="AV702" s="20" t="str">
        <f>HYPERLINK("https://www.google.iq/maps/search/+36.424,43.2991/@36.424,43.2991,14z?hl=en","Maplink2")</f>
        <v>Maplink2</v>
      </c>
      <c r="AW702" s="20" t="str">
        <f>HYPERLINK("http://www.bing.com/maps/?lvl=14&amp;sty=h&amp;cp=36.424~43.2991&amp;sp=point.36.424_43.2991","Maplink3")</f>
        <v>Maplink3</v>
      </c>
    </row>
    <row r="703" spans="1:49" s="19" customFormat="1" x14ac:dyDescent="0.25">
      <c r="A703" s="9">
        <v>22651</v>
      </c>
      <c r="B703" s="10" t="s">
        <v>20</v>
      </c>
      <c r="C703" s="10" t="s">
        <v>1005</v>
      </c>
      <c r="D703" s="10" t="s">
        <v>1625</v>
      </c>
      <c r="E703" s="10" t="s">
        <v>1626</v>
      </c>
      <c r="F703" s="10">
        <v>36.396500000000003</v>
      </c>
      <c r="G703" s="10">
        <v>43.281799999999997</v>
      </c>
      <c r="H703" s="11">
        <v>187</v>
      </c>
      <c r="I703" s="11">
        <v>1122</v>
      </c>
      <c r="J703" s="11"/>
      <c r="K703" s="11">
        <v>4</v>
      </c>
      <c r="L703" s="11">
        <v>8</v>
      </c>
      <c r="M703" s="11"/>
      <c r="N703" s="11">
        <v>10</v>
      </c>
      <c r="O703" s="11"/>
      <c r="P703" s="11">
        <v>100</v>
      </c>
      <c r="Q703" s="11">
        <v>20</v>
      </c>
      <c r="R703" s="11"/>
      <c r="S703" s="11"/>
      <c r="T703" s="11"/>
      <c r="U703" s="11"/>
      <c r="V703" s="11">
        <v>33</v>
      </c>
      <c r="W703" s="11">
        <v>5</v>
      </c>
      <c r="X703" s="11"/>
      <c r="Y703" s="11">
        <v>2</v>
      </c>
      <c r="Z703" s="11"/>
      <c r="AA703" s="11">
        <v>5</v>
      </c>
      <c r="AB703" s="11"/>
      <c r="AC703" s="11">
        <v>187</v>
      </c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>
        <v>187</v>
      </c>
      <c r="AP703" s="11"/>
      <c r="AQ703" s="11"/>
      <c r="AR703" s="11"/>
      <c r="AS703" s="11"/>
      <c r="AT703" s="11"/>
      <c r="AU703" s="20" t="str">
        <f>HYPERLINK("http://www.openstreetmap.org/?mlat=36.3965&amp;mlon=43.2818&amp;zoom=12#map=12/36.3965/43.2818","Maplink1")</f>
        <v>Maplink1</v>
      </c>
      <c r="AV703" s="20" t="str">
        <f>HYPERLINK("https://www.google.iq/maps/search/+36.3965,43.2818/@36.3965,43.2818,14z?hl=en","Maplink2")</f>
        <v>Maplink2</v>
      </c>
      <c r="AW703" s="20" t="str">
        <f>HYPERLINK("http://www.bing.com/maps/?lvl=14&amp;sty=h&amp;cp=36.3965~43.2818&amp;sp=point.36.3965_43.2818","Maplink3")</f>
        <v>Maplink3</v>
      </c>
    </row>
    <row r="704" spans="1:49" s="19" customFormat="1" x14ac:dyDescent="0.25">
      <c r="A704" s="9">
        <v>17992</v>
      </c>
      <c r="B704" s="10" t="s">
        <v>20</v>
      </c>
      <c r="C704" s="10" t="s">
        <v>1005</v>
      </c>
      <c r="D704" s="10" t="s">
        <v>1084</v>
      </c>
      <c r="E704" s="10" t="s">
        <v>1085</v>
      </c>
      <c r="F704" s="10">
        <v>35.9456700697</v>
      </c>
      <c r="G704" s="10">
        <v>43.321698265999999</v>
      </c>
      <c r="H704" s="11">
        <v>283</v>
      </c>
      <c r="I704" s="11">
        <v>1698</v>
      </c>
      <c r="J704" s="11"/>
      <c r="K704" s="11"/>
      <c r="L704" s="11"/>
      <c r="M704" s="11"/>
      <c r="N704" s="11"/>
      <c r="O704" s="11"/>
      <c r="P704" s="11">
        <v>20</v>
      </c>
      <c r="Q704" s="11"/>
      <c r="R704" s="11">
        <v>3</v>
      </c>
      <c r="S704" s="11"/>
      <c r="T704" s="11"/>
      <c r="U704" s="11"/>
      <c r="V704" s="11">
        <v>260</v>
      </c>
      <c r="W704" s="11"/>
      <c r="X704" s="11"/>
      <c r="Y704" s="11"/>
      <c r="Z704" s="11"/>
      <c r="AA704" s="11"/>
      <c r="AB704" s="11"/>
      <c r="AC704" s="11">
        <v>283</v>
      </c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>
        <v>4</v>
      </c>
      <c r="AP704" s="11">
        <v>9</v>
      </c>
      <c r="AQ704" s="11">
        <v>6</v>
      </c>
      <c r="AR704" s="11">
        <v>262</v>
      </c>
      <c r="AS704" s="11">
        <v>2</v>
      </c>
      <c r="AT704" s="11"/>
      <c r="AU704" s="20" t="str">
        <f>HYPERLINK("http://www.openstreetmap.org/?mlat=35.9457&amp;mlon=43.3217&amp;zoom=12#map=12/35.9457/43.3217","Maplink1")</f>
        <v>Maplink1</v>
      </c>
      <c r="AV704" s="20" t="str">
        <f>HYPERLINK("https://www.google.iq/maps/search/+35.9457,43.3217/@35.9457,43.3217,14z?hl=en","Maplink2")</f>
        <v>Maplink2</v>
      </c>
      <c r="AW704" s="20" t="str">
        <f>HYPERLINK("http://www.bing.com/maps/?lvl=14&amp;sty=h&amp;cp=35.9457~43.3217&amp;sp=point.35.9457_43.3217","Maplink3")</f>
        <v>Maplink3</v>
      </c>
    </row>
    <row r="705" spans="1:49" s="19" customFormat="1" x14ac:dyDescent="0.25">
      <c r="A705" s="9">
        <v>22954</v>
      </c>
      <c r="B705" s="10" t="s">
        <v>20</v>
      </c>
      <c r="C705" s="10" t="s">
        <v>1005</v>
      </c>
      <c r="D705" s="10" t="s">
        <v>2162</v>
      </c>
      <c r="E705" s="10" t="s">
        <v>2163</v>
      </c>
      <c r="F705" s="10">
        <v>36.446410999999998</v>
      </c>
      <c r="G705" s="10">
        <v>42.734915000000001</v>
      </c>
      <c r="H705" s="11">
        <v>120</v>
      </c>
      <c r="I705" s="11">
        <v>720</v>
      </c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>
        <v>120</v>
      </c>
      <c r="W705" s="11"/>
      <c r="X705" s="11"/>
      <c r="Y705" s="11"/>
      <c r="Z705" s="11"/>
      <c r="AA705" s="11"/>
      <c r="AB705" s="11"/>
      <c r="AC705" s="11">
        <v>120</v>
      </c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>
        <v>120</v>
      </c>
      <c r="AU705" s="20" t="str">
        <f>HYPERLINK("http://www.openstreetmap.org/?mlat=36.4464&amp;mlon=42.7349&amp;zoom=12#map=12/36.4464/42.7349","Maplink1")</f>
        <v>Maplink1</v>
      </c>
      <c r="AV705" s="20" t="str">
        <f>HYPERLINK("https://www.google.iq/maps/search/+36.4464,42.7349/@36.4464,42.7349,14z?hl=en","Maplink2")</f>
        <v>Maplink2</v>
      </c>
      <c r="AW705" s="20" t="str">
        <f>HYPERLINK("http://www.bing.com/maps/?lvl=14&amp;sty=h&amp;cp=36.4464~42.7349&amp;sp=point.36.4464_42.7349","Maplink3")</f>
        <v>Maplink3</v>
      </c>
    </row>
    <row r="706" spans="1:49" s="19" customFormat="1" x14ac:dyDescent="0.25">
      <c r="A706" s="9">
        <v>17128</v>
      </c>
      <c r="B706" s="10" t="s">
        <v>20</v>
      </c>
      <c r="C706" s="10" t="s">
        <v>1005</v>
      </c>
      <c r="D706" s="10" t="s">
        <v>1086</v>
      </c>
      <c r="E706" s="10" t="s">
        <v>1087</v>
      </c>
      <c r="F706" s="10">
        <v>36.167099999999998</v>
      </c>
      <c r="G706" s="10">
        <v>43.257899999999999</v>
      </c>
      <c r="H706" s="11">
        <v>65</v>
      </c>
      <c r="I706" s="11">
        <v>390</v>
      </c>
      <c r="J706" s="11"/>
      <c r="K706" s="11"/>
      <c r="L706" s="11"/>
      <c r="M706" s="11"/>
      <c r="N706" s="11"/>
      <c r="O706" s="11"/>
      <c r="P706" s="11"/>
      <c r="Q706" s="11"/>
      <c r="R706" s="11">
        <v>10</v>
      </c>
      <c r="S706" s="11"/>
      <c r="T706" s="11"/>
      <c r="U706" s="11"/>
      <c r="V706" s="11">
        <v>55</v>
      </c>
      <c r="W706" s="11"/>
      <c r="X706" s="11"/>
      <c r="Y706" s="11"/>
      <c r="Z706" s="11"/>
      <c r="AA706" s="11"/>
      <c r="AB706" s="11"/>
      <c r="AC706" s="11">
        <v>65</v>
      </c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>
        <v>10</v>
      </c>
      <c r="AQ706" s="11"/>
      <c r="AR706" s="11"/>
      <c r="AS706" s="11">
        <v>55</v>
      </c>
      <c r="AT706" s="11"/>
      <c r="AU706" s="20" t="str">
        <f>HYPERLINK("http://www.openstreetmap.org/?mlat=36.1671&amp;mlon=43.2579&amp;zoom=12#map=12/36.1671/43.2579","Maplink1")</f>
        <v>Maplink1</v>
      </c>
      <c r="AV706" s="20" t="str">
        <f>HYPERLINK("https://www.google.iq/maps/search/+36.1671,43.2579/@36.1671,43.2579,14z?hl=en","Maplink2")</f>
        <v>Maplink2</v>
      </c>
      <c r="AW706" s="20" t="str">
        <f>HYPERLINK("http://www.bing.com/maps/?lvl=14&amp;sty=h&amp;cp=36.1671~43.2579&amp;sp=point.36.1671_43.2579","Maplink3")</f>
        <v>Maplink3</v>
      </c>
    </row>
    <row r="707" spans="1:49" s="19" customFormat="1" x14ac:dyDescent="0.25">
      <c r="A707" s="9">
        <v>17425</v>
      </c>
      <c r="B707" s="10" t="s">
        <v>20</v>
      </c>
      <c r="C707" s="10" t="s">
        <v>1005</v>
      </c>
      <c r="D707" s="10" t="s">
        <v>1955</v>
      </c>
      <c r="E707" s="10" t="s">
        <v>1956</v>
      </c>
      <c r="F707" s="10">
        <v>36.241661999999998</v>
      </c>
      <c r="G707" s="10">
        <v>42.799331000000002</v>
      </c>
      <c r="H707" s="11">
        <v>46</v>
      </c>
      <c r="I707" s="11">
        <v>276</v>
      </c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>
        <v>46</v>
      </c>
      <c r="W707" s="11"/>
      <c r="X707" s="11"/>
      <c r="Y707" s="11"/>
      <c r="Z707" s="11"/>
      <c r="AA707" s="11"/>
      <c r="AB707" s="11"/>
      <c r="AC707" s="11">
        <v>46</v>
      </c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>
        <v>46</v>
      </c>
      <c r="AT707" s="11"/>
      <c r="AU707" s="20" t="str">
        <f>HYPERLINK("http://www.openstreetmap.org/?mlat=36.2417&amp;mlon=42.7993&amp;zoom=12#map=12/36.2417/42.7993","Maplink1")</f>
        <v>Maplink1</v>
      </c>
      <c r="AV707" s="20" t="str">
        <f>HYPERLINK("https://www.google.iq/maps/search/+36.2417,42.7993/@36.2417,42.7993,14z?hl=en","Maplink2")</f>
        <v>Maplink2</v>
      </c>
      <c r="AW707" s="20" t="str">
        <f>HYPERLINK("http://www.bing.com/maps/?lvl=14&amp;sty=h&amp;cp=36.2417~42.7993&amp;sp=point.36.2417_42.7993","Maplink3")</f>
        <v>Maplink3</v>
      </c>
    </row>
    <row r="708" spans="1:49" s="19" customFormat="1" x14ac:dyDescent="0.25">
      <c r="A708" s="9">
        <v>18306</v>
      </c>
      <c r="B708" s="10" t="s">
        <v>20</v>
      </c>
      <c r="C708" s="10" t="s">
        <v>1005</v>
      </c>
      <c r="D708" s="10" t="s">
        <v>1088</v>
      </c>
      <c r="E708" s="10" t="s">
        <v>1089</v>
      </c>
      <c r="F708" s="10">
        <v>36.402900000000002</v>
      </c>
      <c r="G708" s="10">
        <v>43.121600000000001</v>
      </c>
      <c r="H708" s="11">
        <v>5</v>
      </c>
      <c r="I708" s="11">
        <v>30</v>
      </c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>
        <v>5</v>
      </c>
      <c r="W708" s="11"/>
      <c r="X708" s="11"/>
      <c r="Y708" s="11"/>
      <c r="Z708" s="11"/>
      <c r="AA708" s="11"/>
      <c r="AB708" s="11"/>
      <c r="AC708" s="11">
        <v>5</v>
      </c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>
        <v>5</v>
      </c>
      <c r="AT708" s="11"/>
      <c r="AU708" s="20" t="str">
        <f>HYPERLINK("http://www.openstreetmap.org/?mlat=36.4029&amp;mlon=43.1216&amp;zoom=12#map=12/36.4029/43.1216","Maplink1")</f>
        <v>Maplink1</v>
      </c>
      <c r="AV708" s="20" t="str">
        <f>HYPERLINK("https://www.google.iq/maps/search/+36.4029,43.1216/@36.4029,43.1216,14z?hl=en","Maplink2")</f>
        <v>Maplink2</v>
      </c>
      <c r="AW708" s="20" t="str">
        <f>HYPERLINK("http://www.bing.com/maps/?lvl=14&amp;sty=h&amp;cp=36.4029~43.1216&amp;sp=point.36.4029_43.1216","Maplink3")</f>
        <v>Maplink3</v>
      </c>
    </row>
    <row r="709" spans="1:49" s="19" customFormat="1" x14ac:dyDescent="0.25">
      <c r="A709" s="9">
        <v>23933</v>
      </c>
      <c r="B709" s="10" t="s">
        <v>20</v>
      </c>
      <c r="C709" s="10" t="s">
        <v>1005</v>
      </c>
      <c r="D709" s="10" t="s">
        <v>1090</v>
      </c>
      <c r="E709" s="10" t="s">
        <v>1091</v>
      </c>
      <c r="F709" s="10">
        <v>36.363736000000003</v>
      </c>
      <c r="G709" s="10">
        <v>43.218418999999997</v>
      </c>
      <c r="H709" s="11">
        <v>188</v>
      </c>
      <c r="I709" s="11">
        <v>1128</v>
      </c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>
        <v>188</v>
      </c>
      <c r="W709" s="11"/>
      <c r="X709" s="11"/>
      <c r="Y709" s="11"/>
      <c r="Z709" s="11"/>
      <c r="AA709" s="11"/>
      <c r="AB709" s="11"/>
      <c r="AC709" s="11">
        <v>188</v>
      </c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>
        <v>188</v>
      </c>
      <c r="AT709" s="11"/>
      <c r="AU709" s="20" t="str">
        <f>HYPERLINK("http://www.openstreetmap.org/?mlat=36.3637&amp;mlon=43.2184&amp;zoom=12#map=12/36.3637/43.2184","Maplink1")</f>
        <v>Maplink1</v>
      </c>
      <c r="AV709" s="20" t="str">
        <f>HYPERLINK("https://www.google.iq/maps/search/+36.3637,43.2184/@36.3637,43.2184,14z?hl=en","Maplink2")</f>
        <v>Maplink2</v>
      </c>
      <c r="AW709" s="20" t="str">
        <f>HYPERLINK("http://www.bing.com/maps/?lvl=14&amp;sty=h&amp;cp=36.3637~43.2184&amp;sp=point.36.3637_43.2184","Maplink3")</f>
        <v>Maplink3</v>
      </c>
    </row>
    <row r="710" spans="1:49" s="19" customFormat="1" x14ac:dyDescent="0.25">
      <c r="A710" s="9">
        <v>27303</v>
      </c>
      <c r="B710" s="10" t="s">
        <v>20</v>
      </c>
      <c r="C710" s="10" t="s">
        <v>1005</v>
      </c>
      <c r="D710" s="10" t="s">
        <v>1957</v>
      </c>
      <c r="E710" s="10" t="s">
        <v>1198</v>
      </c>
      <c r="F710" s="10">
        <v>36.351328287800001</v>
      </c>
      <c r="G710" s="10">
        <v>43.144738848700001</v>
      </c>
      <c r="H710" s="11">
        <v>180</v>
      </c>
      <c r="I710" s="11">
        <v>1080</v>
      </c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>
        <v>180</v>
      </c>
      <c r="W710" s="11"/>
      <c r="X710" s="11"/>
      <c r="Y710" s="11"/>
      <c r="Z710" s="11"/>
      <c r="AA710" s="11"/>
      <c r="AB710" s="11"/>
      <c r="AC710" s="11">
        <v>180</v>
      </c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>
        <v>180</v>
      </c>
      <c r="AT710" s="11"/>
      <c r="AU710" s="20" t="str">
        <f>HYPERLINK("http://www.openstreetmap.org/?mlat=36.3513&amp;mlon=43.1447&amp;zoom=12#map=12/36.3513/43.1447","Maplink1")</f>
        <v>Maplink1</v>
      </c>
      <c r="AV710" s="20" t="str">
        <f>HYPERLINK("https://www.google.iq/maps/search/+36.3513,43.1447/@36.3513,43.1447,14z?hl=en","Maplink2")</f>
        <v>Maplink2</v>
      </c>
      <c r="AW710" s="20" t="str">
        <f>HYPERLINK("http://www.bing.com/maps/?lvl=14&amp;sty=h&amp;cp=36.3513~43.1447&amp;sp=point.36.3513_43.1447","Maplink3")</f>
        <v>Maplink3</v>
      </c>
    </row>
    <row r="711" spans="1:49" s="19" customFormat="1" x14ac:dyDescent="0.25">
      <c r="A711" s="9">
        <v>21336</v>
      </c>
      <c r="B711" s="10" t="s">
        <v>20</v>
      </c>
      <c r="C711" s="10" t="s">
        <v>1005</v>
      </c>
      <c r="D711" s="10" t="s">
        <v>1092</v>
      </c>
      <c r="E711" s="10" t="s">
        <v>1093</v>
      </c>
      <c r="F711" s="10">
        <v>36.3215</v>
      </c>
      <c r="G711" s="10">
        <v>43.125999999999998</v>
      </c>
      <c r="H711" s="11">
        <v>172</v>
      </c>
      <c r="I711" s="11">
        <v>1032</v>
      </c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>
        <v>172</v>
      </c>
      <c r="W711" s="11"/>
      <c r="X711" s="11"/>
      <c r="Y711" s="11"/>
      <c r="Z711" s="11"/>
      <c r="AA711" s="11"/>
      <c r="AB711" s="11"/>
      <c r="AC711" s="11">
        <v>172</v>
      </c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>
        <v>172</v>
      </c>
      <c r="AT711" s="11"/>
      <c r="AU711" s="20" t="str">
        <f>HYPERLINK("http://www.openstreetmap.org/?mlat=36.3215&amp;mlon=43.126&amp;zoom=12#map=12/36.3215/43.126","Maplink1")</f>
        <v>Maplink1</v>
      </c>
      <c r="AV711" s="20" t="str">
        <f>HYPERLINK("https://www.google.iq/maps/search/+36.3215,43.126/@36.3215,43.126,14z?hl=en","Maplink2")</f>
        <v>Maplink2</v>
      </c>
      <c r="AW711" s="20" t="str">
        <f>HYPERLINK("http://www.bing.com/maps/?lvl=14&amp;sty=h&amp;cp=36.3215~43.126&amp;sp=point.36.3215_43.126","Maplink3")</f>
        <v>Maplink3</v>
      </c>
    </row>
    <row r="712" spans="1:49" s="19" customFormat="1" x14ac:dyDescent="0.25">
      <c r="A712" s="9">
        <v>32085</v>
      </c>
      <c r="B712" s="10" t="s">
        <v>20</v>
      </c>
      <c r="C712" s="10" t="s">
        <v>1005</v>
      </c>
      <c r="D712" s="10" t="s">
        <v>1094</v>
      </c>
      <c r="E712" s="10" t="s">
        <v>1095</v>
      </c>
      <c r="F712" s="10">
        <v>35.692684</v>
      </c>
      <c r="G712" s="10">
        <v>43.283152000000001</v>
      </c>
      <c r="H712" s="11">
        <v>602</v>
      </c>
      <c r="I712" s="11">
        <v>3612</v>
      </c>
      <c r="J712" s="11"/>
      <c r="K712" s="11"/>
      <c r="L712" s="11"/>
      <c r="M712" s="11"/>
      <c r="N712" s="11"/>
      <c r="O712" s="11"/>
      <c r="P712" s="11">
        <v>2</v>
      </c>
      <c r="Q712" s="11"/>
      <c r="R712" s="11"/>
      <c r="S712" s="11"/>
      <c r="T712" s="11"/>
      <c r="U712" s="11"/>
      <c r="V712" s="11">
        <v>600</v>
      </c>
      <c r="W712" s="11"/>
      <c r="X712" s="11"/>
      <c r="Y712" s="11"/>
      <c r="Z712" s="11"/>
      <c r="AA712" s="11"/>
      <c r="AB712" s="11"/>
      <c r="AC712" s="11">
        <v>602</v>
      </c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>
        <v>2</v>
      </c>
      <c r="AS712" s="11">
        <v>600</v>
      </c>
      <c r="AT712" s="11"/>
      <c r="AU712" s="20" t="str">
        <f>HYPERLINK("http://www.openstreetmap.org/?mlat=35.6927&amp;mlon=43.2832&amp;zoom=12#map=12/35.6927/43.2832","Maplink1")</f>
        <v>Maplink1</v>
      </c>
      <c r="AV712" s="20" t="str">
        <f>HYPERLINK("https://www.google.iq/maps/search/+35.6927,43.2832/@35.6927,43.2832,14z?hl=en","Maplink2")</f>
        <v>Maplink2</v>
      </c>
      <c r="AW712" s="20" t="str">
        <f>HYPERLINK("http://www.bing.com/maps/?lvl=14&amp;sty=h&amp;cp=35.6927~43.2832&amp;sp=point.35.6927_43.2832","Maplink3")</f>
        <v>Maplink3</v>
      </c>
    </row>
    <row r="713" spans="1:49" s="19" customFormat="1" x14ac:dyDescent="0.25">
      <c r="A713" s="9">
        <v>24205</v>
      </c>
      <c r="B713" s="10" t="s">
        <v>20</v>
      </c>
      <c r="C713" s="10" t="s">
        <v>1005</v>
      </c>
      <c r="D713" s="10" t="s">
        <v>1096</v>
      </c>
      <c r="E713" s="10" t="s">
        <v>1097</v>
      </c>
      <c r="F713" s="10">
        <v>36.488005824200002</v>
      </c>
      <c r="G713" s="10">
        <v>43.234799872000004</v>
      </c>
      <c r="H713" s="11">
        <v>53</v>
      </c>
      <c r="I713" s="11">
        <v>318</v>
      </c>
      <c r="J713" s="11"/>
      <c r="K713" s="11"/>
      <c r="L713" s="11"/>
      <c r="M713" s="11"/>
      <c r="N713" s="11">
        <v>12</v>
      </c>
      <c r="O713" s="11"/>
      <c r="P713" s="11">
        <v>9</v>
      </c>
      <c r="Q713" s="11"/>
      <c r="R713" s="11"/>
      <c r="S713" s="11"/>
      <c r="T713" s="11"/>
      <c r="U713" s="11"/>
      <c r="V713" s="11">
        <v>32</v>
      </c>
      <c r="W713" s="11"/>
      <c r="X713" s="11"/>
      <c r="Y713" s="11"/>
      <c r="Z713" s="11"/>
      <c r="AA713" s="11"/>
      <c r="AB713" s="11"/>
      <c r="AC713" s="11">
        <v>53</v>
      </c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>
        <v>31</v>
      </c>
      <c r="AP713" s="11"/>
      <c r="AQ713" s="11"/>
      <c r="AR713" s="11"/>
      <c r="AS713" s="11">
        <v>22</v>
      </c>
      <c r="AT713" s="11"/>
      <c r="AU713" s="20" t="str">
        <f>HYPERLINK("http://www.openstreetmap.org/?mlat=36.488&amp;mlon=43.2348&amp;zoom=12#map=12/36.488/43.2348","Maplink1")</f>
        <v>Maplink1</v>
      </c>
      <c r="AV713" s="20" t="str">
        <f>HYPERLINK("https://www.google.iq/maps/search/+36.488,43.2348/@36.488,43.2348,14z?hl=en","Maplink2")</f>
        <v>Maplink2</v>
      </c>
      <c r="AW713" s="20" t="str">
        <f>HYPERLINK("http://www.bing.com/maps/?lvl=14&amp;sty=h&amp;cp=36.488~43.2348&amp;sp=point.36.488_43.2348","Maplink3")</f>
        <v>Maplink3</v>
      </c>
    </row>
    <row r="714" spans="1:49" s="19" customFormat="1" x14ac:dyDescent="0.25">
      <c r="A714" s="9">
        <v>29661</v>
      </c>
      <c r="B714" s="10" t="s">
        <v>20</v>
      </c>
      <c r="C714" s="10" t="s">
        <v>1005</v>
      </c>
      <c r="D714" s="10" t="s">
        <v>1098</v>
      </c>
      <c r="E714" s="10" t="s">
        <v>1099</v>
      </c>
      <c r="F714" s="10">
        <v>35.783299999999997</v>
      </c>
      <c r="G714" s="10">
        <v>43.353299999999997</v>
      </c>
      <c r="H714" s="11">
        <v>2</v>
      </c>
      <c r="I714" s="11">
        <v>12</v>
      </c>
      <c r="J714" s="11"/>
      <c r="K714" s="11"/>
      <c r="L714" s="11"/>
      <c r="M714" s="11"/>
      <c r="N714" s="11"/>
      <c r="O714" s="11"/>
      <c r="P714" s="11">
        <v>2</v>
      </c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>
        <v>2</v>
      </c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>
        <v>2</v>
      </c>
      <c r="AS714" s="11"/>
      <c r="AT714" s="11"/>
      <c r="AU714" s="20" t="str">
        <f>HYPERLINK("http://www.openstreetmap.org/?mlat=35.7833&amp;mlon=43.3533&amp;zoom=12#map=12/35.7833/43.3533","Maplink1")</f>
        <v>Maplink1</v>
      </c>
      <c r="AV714" s="20" t="str">
        <f>HYPERLINK("https://www.google.iq/maps/search/+35.7833,43.3533/@35.7833,43.3533,14z?hl=en","Maplink2")</f>
        <v>Maplink2</v>
      </c>
      <c r="AW714" s="20" t="str">
        <f>HYPERLINK("http://www.bing.com/maps/?lvl=14&amp;sty=h&amp;cp=35.7833~43.3533&amp;sp=point.35.7833_43.3533","Maplink3")</f>
        <v>Maplink3</v>
      </c>
    </row>
    <row r="715" spans="1:49" s="19" customFormat="1" x14ac:dyDescent="0.25">
      <c r="A715" s="9">
        <v>22213</v>
      </c>
      <c r="B715" s="10" t="s">
        <v>20</v>
      </c>
      <c r="C715" s="10" t="s">
        <v>1005</v>
      </c>
      <c r="D715" s="10" t="s">
        <v>1100</v>
      </c>
      <c r="E715" s="10" t="s">
        <v>1101</v>
      </c>
      <c r="F715" s="10">
        <v>36.490839000000001</v>
      </c>
      <c r="G715" s="10">
        <v>43.307262000000001</v>
      </c>
      <c r="H715" s="11">
        <v>20</v>
      </c>
      <c r="I715" s="11">
        <v>120</v>
      </c>
      <c r="J715" s="11"/>
      <c r="K715" s="11"/>
      <c r="L715" s="11"/>
      <c r="M715" s="11"/>
      <c r="N715" s="11">
        <v>12</v>
      </c>
      <c r="O715" s="11"/>
      <c r="P715" s="11"/>
      <c r="Q715" s="11"/>
      <c r="R715" s="11"/>
      <c r="S715" s="11"/>
      <c r="T715" s="11"/>
      <c r="U715" s="11"/>
      <c r="V715" s="11">
        <v>8</v>
      </c>
      <c r="W715" s="11"/>
      <c r="X715" s="11"/>
      <c r="Y715" s="11"/>
      <c r="Z715" s="11"/>
      <c r="AA715" s="11"/>
      <c r="AB715" s="11"/>
      <c r="AC715" s="11">
        <v>20</v>
      </c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>
        <v>20</v>
      </c>
      <c r="AP715" s="11"/>
      <c r="AQ715" s="11"/>
      <c r="AR715" s="11"/>
      <c r="AS715" s="11"/>
      <c r="AT715" s="11"/>
      <c r="AU715" s="20" t="str">
        <f>HYPERLINK("http://www.openstreetmap.org/?mlat=36.4908&amp;mlon=43.3073&amp;zoom=12#map=12/36.4908/43.3073","Maplink1")</f>
        <v>Maplink1</v>
      </c>
      <c r="AV715" s="20" t="str">
        <f>HYPERLINK("https://www.google.iq/maps/search/+36.4908,43.3073/@36.4908,43.3073,14z?hl=en","Maplink2")</f>
        <v>Maplink2</v>
      </c>
      <c r="AW715" s="20" t="str">
        <f>HYPERLINK("http://www.bing.com/maps/?lvl=14&amp;sty=h&amp;cp=36.4908~43.3073&amp;sp=point.36.4908_43.3073","Maplink3")</f>
        <v>Maplink3</v>
      </c>
    </row>
    <row r="716" spans="1:49" s="19" customFormat="1" x14ac:dyDescent="0.25">
      <c r="A716" s="9">
        <v>32056</v>
      </c>
      <c r="B716" s="10" t="s">
        <v>20</v>
      </c>
      <c r="C716" s="10" t="s">
        <v>1005</v>
      </c>
      <c r="D716" s="10" t="s">
        <v>1102</v>
      </c>
      <c r="E716" s="10" t="s">
        <v>1103</v>
      </c>
      <c r="F716" s="10">
        <v>36.147550000000003</v>
      </c>
      <c r="G716" s="10">
        <v>43.180619999999998</v>
      </c>
      <c r="H716" s="11">
        <v>50</v>
      </c>
      <c r="I716" s="11">
        <v>300</v>
      </c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>
        <v>50</v>
      </c>
      <c r="W716" s="11"/>
      <c r="X716" s="11"/>
      <c r="Y716" s="11"/>
      <c r="Z716" s="11"/>
      <c r="AA716" s="11"/>
      <c r="AB716" s="11"/>
      <c r="AC716" s="11">
        <v>50</v>
      </c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>
        <v>50</v>
      </c>
      <c r="AS716" s="11"/>
      <c r="AT716" s="11"/>
      <c r="AU716" s="20" t="str">
        <f>HYPERLINK("http://www.openstreetmap.org/?mlat=36.1476&amp;mlon=43.1806&amp;zoom=12#map=12/36.1476/43.1806","Maplink1")</f>
        <v>Maplink1</v>
      </c>
      <c r="AV716" s="20" t="str">
        <f>HYPERLINK("https://www.google.iq/maps/search/+36.1476,43.1806/@36.1476,43.1806,14z?hl=en","Maplink2")</f>
        <v>Maplink2</v>
      </c>
      <c r="AW716" s="20" t="str">
        <f>HYPERLINK("http://www.bing.com/maps/?lvl=14&amp;sty=h&amp;cp=36.1476~43.1806&amp;sp=point.36.1476_43.1806","Maplink3")</f>
        <v>Maplink3</v>
      </c>
    </row>
    <row r="717" spans="1:49" s="19" customFormat="1" x14ac:dyDescent="0.25">
      <c r="A717" s="9">
        <v>22129</v>
      </c>
      <c r="B717" s="10" t="s">
        <v>20</v>
      </c>
      <c r="C717" s="10" t="s">
        <v>1005</v>
      </c>
      <c r="D717" s="10" t="s">
        <v>1104</v>
      </c>
      <c r="E717" s="10" t="s">
        <v>1105</v>
      </c>
      <c r="F717" s="10">
        <v>36.50967</v>
      </c>
      <c r="G717" s="10">
        <v>43.223790000000001</v>
      </c>
      <c r="H717" s="11">
        <v>660</v>
      </c>
      <c r="I717" s="11">
        <v>3960</v>
      </c>
      <c r="J717" s="11"/>
      <c r="K717" s="11">
        <v>7</v>
      </c>
      <c r="L717" s="11"/>
      <c r="M717" s="11"/>
      <c r="N717" s="11">
        <v>14</v>
      </c>
      <c r="O717" s="11"/>
      <c r="P717" s="11"/>
      <c r="Q717" s="11"/>
      <c r="R717" s="11"/>
      <c r="S717" s="11"/>
      <c r="T717" s="11"/>
      <c r="U717" s="11"/>
      <c r="V717" s="11">
        <v>635</v>
      </c>
      <c r="W717" s="11">
        <v>2</v>
      </c>
      <c r="X717" s="11"/>
      <c r="Y717" s="11">
        <v>2</v>
      </c>
      <c r="Z717" s="11"/>
      <c r="AA717" s="11"/>
      <c r="AB717" s="11"/>
      <c r="AC717" s="11">
        <v>660</v>
      </c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>
        <v>660</v>
      </c>
      <c r="AP717" s="11"/>
      <c r="AQ717" s="11"/>
      <c r="AR717" s="11"/>
      <c r="AS717" s="11"/>
      <c r="AT717" s="11"/>
      <c r="AU717" s="20" t="str">
        <f>HYPERLINK("http://www.openstreetmap.org/?mlat=36.5097&amp;mlon=43.2238&amp;zoom=12#map=12/36.5097/43.2238","Maplink1")</f>
        <v>Maplink1</v>
      </c>
      <c r="AV717" s="20" t="str">
        <f>HYPERLINK("https://www.google.iq/maps/search/+36.5097,43.2238/@36.5097,43.2238,14z?hl=en","Maplink2")</f>
        <v>Maplink2</v>
      </c>
      <c r="AW717" s="20" t="str">
        <f>HYPERLINK("http://www.bing.com/maps/?lvl=14&amp;sty=h&amp;cp=36.5097~43.2238&amp;sp=point.36.5097_43.2238","Maplink3")</f>
        <v>Maplink3</v>
      </c>
    </row>
    <row r="718" spans="1:49" s="19" customFormat="1" x14ac:dyDescent="0.25">
      <c r="A718" s="9">
        <v>17510</v>
      </c>
      <c r="B718" s="10" t="s">
        <v>20</v>
      </c>
      <c r="C718" s="10" t="s">
        <v>1005</v>
      </c>
      <c r="D718" s="10" t="s">
        <v>1106</v>
      </c>
      <c r="E718" s="10" t="s">
        <v>1107</v>
      </c>
      <c r="F718" s="10">
        <v>35.828699999999998</v>
      </c>
      <c r="G718" s="10">
        <v>43.327100000000002</v>
      </c>
      <c r="H718" s="11">
        <v>248</v>
      </c>
      <c r="I718" s="11">
        <v>1488</v>
      </c>
      <c r="J718" s="11"/>
      <c r="K718" s="11"/>
      <c r="L718" s="11"/>
      <c r="M718" s="11"/>
      <c r="N718" s="11"/>
      <c r="O718" s="11"/>
      <c r="P718" s="11">
        <v>248</v>
      </c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>
        <v>248</v>
      </c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>
        <v>3</v>
      </c>
      <c r="AR718" s="11">
        <v>195</v>
      </c>
      <c r="AS718" s="11">
        <v>50</v>
      </c>
      <c r="AT718" s="11"/>
      <c r="AU718" s="20" t="str">
        <f>HYPERLINK("http://www.openstreetmap.org/?mlat=35.8287&amp;mlon=43.3271&amp;zoom=12#map=12/35.8287/43.3271","Maplink1")</f>
        <v>Maplink1</v>
      </c>
      <c r="AV718" s="20" t="str">
        <f>HYPERLINK("https://www.google.iq/maps/search/+35.8287,43.3271/@35.8287,43.3271,14z?hl=en","Maplink2")</f>
        <v>Maplink2</v>
      </c>
      <c r="AW718" s="20" t="str">
        <f>HYPERLINK("http://www.bing.com/maps/?lvl=14&amp;sty=h&amp;cp=35.8287~43.3271&amp;sp=point.35.8287_43.3271","Maplink3")</f>
        <v>Maplink3</v>
      </c>
    </row>
    <row r="719" spans="1:49" s="19" customFormat="1" x14ac:dyDescent="0.25">
      <c r="A719" s="9">
        <v>31771</v>
      </c>
      <c r="B719" s="10" t="s">
        <v>20</v>
      </c>
      <c r="C719" s="10" t="s">
        <v>1005</v>
      </c>
      <c r="D719" s="10" t="s">
        <v>1108</v>
      </c>
      <c r="E719" s="10" t="s">
        <v>1109</v>
      </c>
      <c r="F719" s="10">
        <v>36.238390000000003</v>
      </c>
      <c r="G719" s="10">
        <v>43.178159999999998</v>
      </c>
      <c r="H719" s="11">
        <v>305</v>
      </c>
      <c r="I719" s="11">
        <v>1830</v>
      </c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>
        <v>305</v>
      </c>
      <c r="W719" s="11"/>
      <c r="X719" s="11"/>
      <c r="Y719" s="11"/>
      <c r="Z719" s="11"/>
      <c r="AA719" s="11"/>
      <c r="AB719" s="11"/>
      <c r="AC719" s="11">
        <v>305</v>
      </c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>
        <v>305</v>
      </c>
      <c r="AT719" s="11"/>
      <c r="AU719" s="20" t="str">
        <f>HYPERLINK("http://www.openstreetmap.org/?mlat=36.2384&amp;mlon=43.1782&amp;zoom=12#map=12/36.2384/43.1782","Maplink1")</f>
        <v>Maplink1</v>
      </c>
      <c r="AV719" s="20" t="str">
        <f>HYPERLINK("https://www.google.iq/maps/search/+36.2384,43.1782/@36.2384,43.1782,14z?hl=en","Maplink2")</f>
        <v>Maplink2</v>
      </c>
      <c r="AW719" s="20" t="str">
        <f>HYPERLINK("http://www.bing.com/maps/?lvl=14&amp;sty=h&amp;cp=36.2384~43.1782&amp;sp=point.36.2384_43.1782","Maplink3")</f>
        <v>Maplink3</v>
      </c>
    </row>
    <row r="720" spans="1:49" s="19" customFormat="1" x14ac:dyDescent="0.25">
      <c r="A720" s="9">
        <v>18376</v>
      </c>
      <c r="B720" s="10" t="s">
        <v>20</v>
      </c>
      <c r="C720" s="10" t="s">
        <v>1005</v>
      </c>
      <c r="D720" s="10" t="s">
        <v>1110</v>
      </c>
      <c r="E720" s="10" t="s">
        <v>1111</v>
      </c>
      <c r="F720" s="10">
        <v>36.3646065306</v>
      </c>
      <c r="G720" s="10">
        <v>43.253451653399999</v>
      </c>
      <c r="H720" s="11">
        <v>1060</v>
      </c>
      <c r="I720" s="11">
        <v>6360</v>
      </c>
      <c r="J720" s="11"/>
      <c r="K720" s="11">
        <v>3</v>
      </c>
      <c r="L720" s="11">
        <v>3</v>
      </c>
      <c r="M720" s="11"/>
      <c r="N720" s="11"/>
      <c r="O720" s="11"/>
      <c r="P720" s="11">
        <v>260</v>
      </c>
      <c r="Q720" s="11"/>
      <c r="R720" s="11"/>
      <c r="S720" s="11"/>
      <c r="T720" s="11"/>
      <c r="U720" s="11"/>
      <c r="V720" s="11">
        <v>770</v>
      </c>
      <c r="W720" s="11"/>
      <c r="X720" s="11"/>
      <c r="Y720" s="11">
        <v>20</v>
      </c>
      <c r="Z720" s="11"/>
      <c r="AA720" s="11">
        <v>4</v>
      </c>
      <c r="AB720" s="11"/>
      <c r="AC720" s="11">
        <v>1060</v>
      </c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>
        <v>310</v>
      </c>
      <c r="AP720" s="11"/>
      <c r="AQ720" s="11"/>
      <c r="AR720" s="11"/>
      <c r="AS720" s="11">
        <v>750</v>
      </c>
      <c r="AT720" s="11"/>
      <c r="AU720" s="20" t="str">
        <f>HYPERLINK("http://www.openstreetmap.org/?mlat=36.3646&amp;mlon=43.2535&amp;zoom=12#map=12/36.3646/43.2535","Maplink1")</f>
        <v>Maplink1</v>
      </c>
      <c r="AV720" s="20" t="str">
        <f>HYPERLINK("https://www.google.iq/maps/search/+36.3646,43.2535/@36.3646,43.2535,14z?hl=en","Maplink2")</f>
        <v>Maplink2</v>
      </c>
      <c r="AW720" s="20" t="str">
        <f>HYPERLINK("http://www.bing.com/maps/?lvl=14&amp;sty=h&amp;cp=36.3646~43.2535&amp;sp=point.36.3646_43.2535","Maplink3")</f>
        <v>Maplink3</v>
      </c>
    </row>
    <row r="721" spans="1:49" s="19" customFormat="1" x14ac:dyDescent="0.25">
      <c r="A721" s="9">
        <v>17522</v>
      </c>
      <c r="B721" s="10" t="s">
        <v>20</v>
      </c>
      <c r="C721" s="10" t="s">
        <v>1005</v>
      </c>
      <c r="D721" s="10" t="s">
        <v>1112</v>
      </c>
      <c r="E721" s="10" t="s">
        <v>1113</v>
      </c>
      <c r="F721" s="10">
        <v>36.211329999999997</v>
      </c>
      <c r="G721" s="10">
        <v>43.21302</v>
      </c>
      <c r="H721" s="11">
        <v>155</v>
      </c>
      <c r="I721" s="11">
        <v>930</v>
      </c>
      <c r="J721" s="11"/>
      <c r="K721" s="11"/>
      <c r="L721" s="11"/>
      <c r="M721" s="11"/>
      <c r="N721" s="11"/>
      <c r="O721" s="11"/>
      <c r="P721" s="11">
        <v>25</v>
      </c>
      <c r="Q721" s="11"/>
      <c r="R721" s="11"/>
      <c r="S721" s="11"/>
      <c r="T721" s="11"/>
      <c r="U721" s="11"/>
      <c r="V721" s="11">
        <v>130</v>
      </c>
      <c r="W721" s="11"/>
      <c r="X721" s="11"/>
      <c r="Y721" s="11"/>
      <c r="Z721" s="11"/>
      <c r="AA721" s="11"/>
      <c r="AB721" s="11"/>
      <c r="AC721" s="11">
        <v>155</v>
      </c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>
        <v>25</v>
      </c>
      <c r="AQ721" s="11"/>
      <c r="AR721" s="11"/>
      <c r="AS721" s="11">
        <v>130</v>
      </c>
      <c r="AT721" s="11"/>
      <c r="AU721" s="20" t="str">
        <f>HYPERLINK("http://www.openstreetmap.org/?mlat=36.2113&amp;mlon=43.213&amp;zoom=12#map=12/36.2113/43.213","Maplink1")</f>
        <v>Maplink1</v>
      </c>
      <c r="AV721" s="20" t="str">
        <f>HYPERLINK("https://www.google.iq/maps/search/+36.2113,43.213/@36.2113,43.213,14z?hl=en","Maplink2")</f>
        <v>Maplink2</v>
      </c>
      <c r="AW721" s="20" t="str">
        <f>HYPERLINK("http://www.bing.com/maps/?lvl=14&amp;sty=h&amp;cp=36.2113~43.213&amp;sp=point.36.2113_43.213","Maplink3")</f>
        <v>Maplink3</v>
      </c>
    </row>
    <row r="722" spans="1:49" s="19" customFormat="1" x14ac:dyDescent="0.25">
      <c r="A722" s="9">
        <v>25813</v>
      </c>
      <c r="B722" s="10" t="s">
        <v>20</v>
      </c>
      <c r="C722" s="10" t="s">
        <v>1005</v>
      </c>
      <c r="D722" s="10" t="s">
        <v>1114</v>
      </c>
      <c r="E722" s="10" t="s">
        <v>1115</v>
      </c>
      <c r="F722" s="10">
        <v>36.493137050000001</v>
      </c>
      <c r="G722" s="10">
        <v>43.424021369999998</v>
      </c>
      <c r="H722" s="11">
        <v>38</v>
      </c>
      <c r="I722" s="11">
        <v>228</v>
      </c>
      <c r="J722" s="11"/>
      <c r="K722" s="11"/>
      <c r="L722" s="11"/>
      <c r="M722" s="11"/>
      <c r="N722" s="11">
        <v>33</v>
      </c>
      <c r="O722" s="11"/>
      <c r="P722" s="11">
        <v>5</v>
      </c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>
        <v>38</v>
      </c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>
        <v>38</v>
      </c>
      <c r="AP722" s="11"/>
      <c r="AQ722" s="11"/>
      <c r="AR722" s="11"/>
      <c r="AS722" s="11"/>
      <c r="AT722" s="11"/>
      <c r="AU722" s="20" t="str">
        <f>HYPERLINK("http://www.openstreetmap.org/?mlat=36.4931&amp;mlon=43.424&amp;zoom=12#map=12/36.4931/43.424","Maplink1")</f>
        <v>Maplink1</v>
      </c>
      <c r="AV722" s="20" t="str">
        <f>HYPERLINK("https://www.google.iq/maps/search/+36.4931,43.424/@36.4931,43.424,14z?hl=en","Maplink2")</f>
        <v>Maplink2</v>
      </c>
      <c r="AW722" s="20" t="str">
        <f>HYPERLINK("http://www.bing.com/maps/?lvl=14&amp;sty=h&amp;cp=36.4931~43.424&amp;sp=point.36.4931_43.424","Maplink3")</f>
        <v>Maplink3</v>
      </c>
    </row>
    <row r="723" spans="1:49" s="19" customFormat="1" x14ac:dyDescent="0.25">
      <c r="A723" s="9">
        <v>29662</v>
      </c>
      <c r="B723" s="10" t="s">
        <v>20</v>
      </c>
      <c r="C723" s="10" t="s">
        <v>1005</v>
      </c>
      <c r="D723" s="10" t="s">
        <v>1116</v>
      </c>
      <c r="E723" s="10" t="s">
        <v>1117</v>
      </c>
      <c r="F723" s="10">
        <v>35.838299999999997</v>
      </c>
      <c r="G723" s="10">
        <v>43.329700000000003</v>
      </c>
      <c r="H723" s="11">
        <v>315</v>
      </c>
      <c r="I723" s="11">
        <v>1890</v>
      </c>
      <c r="J723" s="11"/>
      <c r="K723" s="11"/>
      <c r="L723" s="11"/>
      <c r="M723" s="11"/>
      <c r="N723" s="11"/>
      <c r="O723" s="11"/>
      <c r="P723" s="11">
        <v>306</v>
      </c>
      <c r="Q723" s="11"/>
      <c r="R723" s="11">
        <v>9</v>
      </c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>
        <v>315</v>
      </c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>
        <v>8</v>
      </c>
      <c r="AQ723" s="11">
        <v>307</v>
      </c>
      <c r="AR723" s="11"/>
      <c r="AS723" s="11"/>
      <c r="AT723" s="11"/>
      <c r="AU723" s="20" t="str">
        <f>HYPERLINK("http://www.openstreetmap.org/?mlat=35.8383&amp;mlon=43.3297&amp;zoom=12#map=12/35.8383/43.3297","Maplink1")</f>
        <v>Maplink1</v>
      </c>
      <c r="AV723" s="20" t="str">
        <f>HYPERLINK("https://www.google.iq/maps/search/+35.8383,43.3297/@35.8383,43.3297,14z?hl=en","Maplink2")</f>
        <v>Maplink2</v>
      </c>
      <c r="AW723" s="20" t="str">
        <f>HYPERLINK("http://www.bing.com/maps/?lvl=14&amp;sty=h&amp;cp=35.8383~43.3297&amp;sp=point.35.8383_43.3297","Maplink3")</f>
        <v>Maplink3</v>
      </c>
    </row>
    <row r="724" spans="1:49" s="19" customFormat="1" x14ac:dyDescent="0.25">
      <c r="A724" s="9">
        <v>25810</v>
      </c>
      <c r="B724" s="10" t="s">
        <v>20</v>
      </c>
      <c r="C724" s="10" t="s">
        <v>1005</v>
      </c>
      <c r="D724" s="10" t="s">
        <v>1118</v>
      </c>
      <c r="E724" s="10" t="s">
        <v>1119</v>
      </c>
      <c r="F724" s="10">
        <v>36.47873242</v>
      </c>
      <c r="G724" s="10">
        <v>43.440075739999997</v>
      </c>
      <c r="H724" s="11">
        <v>75</v>
      </c>
      <c r="I724" s="11">
        <v>450</v>
      </c>
      <c r="J724" s="11"/>
      <c r="K724" s="11"/>
      <c r="L724" s="11"/>
      <c r="M724" s="11"/>
      <c r="N724" s="11">
        <v>30</v>
      </c>
      <c r="O724" s="11"/>
      <c r="P724" s="11">
        <v>45</v>
      </c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>
        <v>75</v>
      </c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>
        <v>75</v>
      </c>
      <c r="AP724" s="11"/>
      <c r="AQ724" s="11"/>
      <c r="AR724" s="11"/>
      <c r="AS724" s="11"/>
      <c r="AT724" s="11"/>
      <c r="AU724" s="20" t="str">
        <f>HYPERLINK("http://www.openstreetmap.org/?mlat=36.4787&amp;mlon=43.4401&amp;zoom=12#map=12/36.4787/43.4401","Maplink1")</f>
        <v>Maplink1</v>
      </c>
      <c r="AV724" s="20" t="str">
        <f>HYPERLINK("https://www.google.iq/maps/search/+36.4787,43.4401/@36.4787,43.4401,14z?hl=en","Maplink2")</f>
        <v>Maplink2</v>
      </c>
      <c r="AW724" s="20" t="str">
        <f>HYPERLINK("http://www.bing.com/maps/?lvl=14&amp;sty=h&amp;cp=36.4787~43.4401&amp;sp=point.36.4787_43.4401","Maplink3")</f>
        <v>Maplink3</v>
      </c>
    </row>
    <row r="725" spans="1:49" s="19" customFormat="1" x14ac:dyDescent="0.25">
      <c r="A725" s="9">
        <v>18341</v>
      </c>
      <c r="B725" s="10" t="s">
        <v>20</v>
      </c>
      <c r="C725" s="10" t="s">
        <v>1005</v>
      </c>
      <c r="D725" s="10" t="s">
        <v>2164</v>
      </c>
      <c r="E725" s="10" t="s">
        <v>2165</v>
      </c>
      <c r="F725" s="10">
        <v>36.450342999999997</v>
      </c>
      <c r="G725" s="10">
        <v>42.856830000000002</v>
      </c>
      <c r="H725" s="11">
        <v>20</v>
      </c>
      <c r="I725" s="11">
        <v>120</v>
      </c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>
        <v>20</v>
      </c>
      <c r="W725" s="11"/>
      <c r="X725" s="11"/>
      <c r="Y725" s="11"/>
      <c r="Z725" s="11"/>
      <c r="AA725" s="11"/>
      <c r="AB725" s="11"/>
      <c r="AC725" s="11">
        <v>20</v>
      </c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>
        <v>20</v>
      </c>
      <c r="AT725" s="11"/>
      <c r="AU725" s="20" t="str">
        <f>HYPERLINK("http://www.openstreetmap.org/?mlat=36.4503&amp;mlon=42.8568&amp;zoom=12#map=12/36.4503/42.8568","Maplink1")</f>
        <v>Maplink1</v>
      </c>
      <c r="AV725" s="20" t="str">
        <f>HYPERLINK("https://www.google.iq/maps/search/+36.4503,42.8568/@36.4503,42.8568,14z?hl=en","Maplink2")</f>
        <v>Maplink2</v>
      </c>
      <c r="AW725" s="20" t="str">
        <f>HYPERLINK("http://www.bing.com/maps/?lvl=14&amp;sty=h&amp;cp=36.4503~42.8568&amp;sp=point.36.4503_42.8568","Maplink3")</f>
        <v>Maplink3</v>
      </c>
    </row>
    <row r="726" spans="1:49" s="19" customFormat="1" x14ac:dyDescent="0.25">
      <c r="A726" s="9">
        <v>17990</v>
      </c>
      <c r="B726" s="10" t="s">
        <v>20</v>
      </c>
      <c r="C726" s="10" t="s">
        <v>1005</v>
      </c>
      <c r="D726" s="10" t="s">
        <v>1005</v>
      </c>
      <c r="E726" s="10" t="s">
        <v>1120</v>
      </c>
      <c r="F726" s="10">
        <v>36.340054000000002</v>
      </c>
      <c r="G726" s="10">
        <v>43.130054999999999</v>
      </c>
      <c r="H726" s="11">
        <v>356</v>
      </c>
      <c r="I726" s="11">
        <v>2136</v>
      </c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>
        <v>356</v>
      </c>
      <c r="W726" s="11"/>
      <c r="X726" s="11"/>
      <c r="Y726" s="11"/>
      <c r="Z726" s="11"/>
      <c r="AA726" s="11"/>
      <c r="AB726" s="11"/>
      <c r="AC726" s="11">
        <v>356</v>
      </c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>
        <v>356</v>
      </c>
      <c r="AT726" s="11"/>
      <c r="AU726" s="20" t="str">
        <f>HYPERLINK("http://www.openstreetmap.org/?mlat=36.3401&amp;mlon=43.1301&amp;zoom=12#map=12/36.3401/43.1301","Maplink1")</f>
        <v>Maplink1</v>
      </c>
      <c r="AV726" s="20" t="str">
        <f>HYPERLINK("https://www.google.iq/maps/search/+36.3401,43.1301/@36.3401,43.1301,14z?hl=en","Maplink2")</f>
        <v>Maplink2</v>
      </c>
      <c r="AW726" s="20" t="str">
        <f>HYPERLINK("http://www.bing.com/maps/?lvl=14&amp;sty=h&amp;cp=36.3401~43.1301&amp;sp=point.36.3401_43.1301","Maplink3")</f>
        <v>Maplink3</v>
      </c>
    </row>
    <row r="727" spans="1:49" s="19" customFormat="1" x14ac:dyDescent="0.25">
      <c r="A727" s="9">
        <v>33234</v>
      </c>
      <c r="B727" s="10" t="s">
        <v>20</v>
      </c>
      <c r="C727" s="10" t="s">
        <v>1005</v>
      </c>
      <c r="D727" s="10" t="s">
        <v>2166</v>
      </c>
      <c r="E727" s="10" t="s">
        <v>2167</v>
      </c>
      <c r="F727" s="10">
        <v>36.458519000000003</v>
      </c>
      <c r="G727" s="10">
        <v>42.702331000000001</v>
      </c>
      <c r="H727" s="11">
        <v>12</v>
      </c>
      <c r="I727" s="11">
        <v>72</v>
      </c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>
        <v>12</v>
      </c>
      <c r="W727" s="11"/>
      <c r="X727" s="11"/>
      <c r="Y727" s="11"/>
      <c r="Z727" s="11"/>
      <c r="AA727" s="11"/>
      <c r="AB727" s="11"/>
      <c r="AC727" s="11">
        <v>12</v>
      </c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>
        <v>12</v>
      </c>
      <c r="AU727" s="20" t="str">
        <f>HYPERLINK("http://www.openstreetmap.org/?mlat=36.4585&amp;mlon=42.7023&amp;zoom=12#map=12/36.4585/42.7023","Maplink1")</f>
        <v>Maplink1</v>
      </c>
      <c r="AV727" s="20" t="str">
        <f>HYPERLINK("https://www.google.iq/maps/search/+36.4585,42.7023/@36.4585,42.7023,14z?hl=en","Maplink2")</f>
        <v>Maplink2</v>
      </c>
      <c r="AW727" s="20" t="str">
        <f>HYPERLINK("http://www.bing.com/maps/?lvl=14&amp;sty=h&amp;cp=36.4585~42.7023&amp;sp=point.36.4585_42.7023","Maplink3")</f>
        <v>Maplink3</v>
      </c>
    </row>
    <row r="728" spans="1:49" s="19" customFormat="1" x14ac:dyDescent="0.25">
      <c r="A728" s="9">
        <v>22450</v>
      </c>
      <c r="B728" s="10" t="s">
        <v>20</v>
      </c>
      <c r="C728" s="10" t="s">
        <v>1005</v>
      </c>
      <c r="D728" s="10" t="s">
        <v>1627</v>
      </c>
      <c r="E728" s="10" t="s">
        <v>1628</v>
      </c>
      <c r="F728" s="10">
        <v>36.264299999999999</v>
      </c>
      <c r="G728" s="10">
        <v>42.706400000000002</v>
      </c>
      <c r="H728" s="11">
        <v>1750</v>
      </c>
      <c r="I728" s="11">
        <v>10500</v>
      </c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>
        <v>1750</v>
      </c>
      <c r="W728" s="11"/>
      <c r="X728" s="11"/>
      <c r="Y728" s="11"/>
      <c r="Z728" s="11"/>
      <c r="AA728" s="11"/>
      <c r="AB728" s="11"/>
      <c r="AC728" s="11">
        <v>1750</v>
      </c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>
        <v>20</v>
      </c>
      <c r="AO728" s="11"/>
      <c r="AP728" s="11"/>
      <c r="AQ728" s="11"/>
      <c r="AR728" s="11">
        <v>15</v>
      </c>
      <c r="AS728" s="11">
        <v>1015</v>
      </c>
      <c r="AT728" s="11">
        <v>700</v>
      </c>
      <c r="AU728" s="20" t="str">
        <f>HYPERLINK("http://www.openstreetmap.org/?mlat=36.2643&amp;mlon=42.7064&amp;zoom=12#map=12/36.2643/42.7064","Maplink1")</f>
        <v>Maplink1</v>
      </c>
      <c r="AV728" s="20" t="str">
        <f>HYPERLINK("https://www.google.iq/maps/search/+36.2643,42.7064/@36.2643,42.7064,14z?hl=en","Maplink2")</f>
        <v>Maplink2</v>
      </c>
      <c r="AW728" s="20" t="str">
        <f>HYPERLINK("http://www.bing.com/maps/?lvl=14&amp;sty=h&amp;cp=36.2643~42.7064&amp;sp=point.36.2643_42.7064","Maplink3")</f>
        <v>Maplink3</v>
      </c>
    </row>
    <row r="729" spans="1:49" s="19" customFormat="1" x14ac:dyDescent="0.25">
      <c r="A729" s="9">
        <v>31705</v>
      </c>
      <c r="B729" s="10" t="s">
        <v>20</v>
      </c>
      <c r="C729" s="10" t="s">
        <v>1005</v>
      </c>
      <c r="D729" s="10" t="s">
        <v>1121</v>
      </c>
      <c r="E729" s="10" t="s">
        <v>1122</v>
      </c>
      <c r="F729" s="10">
        <v>36.003509447699997</v>
      </c>
      <c r="G729" s="10">
        <v>43.289962250999999</v>
      </c>
      <c r="H729" s="11">
        <v>260</v>
      </c>
      <c r="I729" s="11">
        <v>1560</v>
      </c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>
        <v>260</v>
      </c>
      <c r="W729" s="11"/>
      <c r="X729" s="11"/>
      <c r="Y729" s="11"/>
      <c r="Z729" s="11"/>
      <c r="AA729" s="11"/>
      <c r="AB729" s="11"/>
      <c r="AC729" s="11">
        <v>260</v>
      </c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>
        <v>260</v>
      </c>
      <c r="AS729" s="11"/>
      <c r="AT729" s="11"/>
      <c r="AU729" s="20" t="str">
        <f>HYPERLINK("http://www.openstreetmap.org/?mlat=36.0035&amp;mlon=43.29&amp;zoom=12#map=12/36.0035/43.29","Maplink1")</f>
        <v>Maplink1</v>
      </c>
      <c r="AV729" s="20" t="str">
        <f>HYPERLINK("https://www.google.iq/maps/search/+36.0035,43.29/@36.0035,43.29,14z?hl=en","Maplink2")</f>
        <v>Maplink2</v>
      </c>
      <c r="AW729" s="20" t="str">
        <f>HYPERLINK("http://www.bing.com/maps/?lvl=14&amp;sty=h&amp;cp=36.0035~43.29&amp;sp=point.36.0035_43.29","Maplink3")</f>
        <v>Maplink3</v>
      </c>
    </row>
    <row r="730" spans="1:49" s="19" customFormat="1" x14ac:dyDescent="0.25">
      <c r="A730" s="9">
        <v>18332</v>
      </c>
      <c r="B730" s="10" t="s">
        <v>20</v>
      </c>
      <c r="C730" s="10" t="s">
        <v>1005</v>
      </c>
      <c r="D730" s="10" t="s">
        <v>1123</v>
      </c>
      <c r="E730" s="10" t="s">
        <v>1124</v>
      </c>
      <c r="F730" s="10">
        <v>36.346417000000002</v>
      </c>
      <c r="G730" s="10">
        <v>43.164434</v>
      </c>
      <c r="H730" s="11">
        <v>187</v>
      </c>
      <c r="I730" s="11">
        <v>1122</v>
      </c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>
        <v>187</v>
      </c>
      <c r="W730" s="11"/>
      <c r="X730" s="11"/>
      <c r="Y730" s="11"/>
      <c r="Z730" s="11"/>
      <c r="AA730" s="11"/>
      <c r="AB730" s="11"/>
      <c r="AC730" s="11">
        <v>187</v>
      </c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>
        <v>187</v>
      </c>
      <c r="AT730" s="11"/>
      <c r="AU730" s="20" t="str">
        <f>HYPERLINK("http://www.openstreetmap.org/?mlat=36.3464&amp;mlon=43.1644&amp;zoom=12#map=12/36.3464/43.1644","Maplink1")</f>
        <v>Maplink1</v>
      </c>
      <c r="AV730" s="20" t="str">
        <f>HYPERLINK("https://www.google.iq/maps/search/+36.3464,43.1644/@36.3464,43.1644,14z?hl=en","Maplink2")</f>
        <v>Maplink2</v>
      </c>
      <c r="AW730" s="20" t="str">
        <f>HYPERLINK("http://www.bing.com/maps/?lvl=14&amp;sty=h&amp;cp=36.3464~43.1644&amp;sp=point.36.3464_43.1644","Maplink3")</f>
        <v>Maplink3</v>
      </c>
    </row>
    <row r="731" spans="1:49" s="19" customFormat="1" x14ac:dyDescent="0.25">
      <c r="A731" s="9">
        <v>18407</v>
      </c>
      <c r="B731" s="10" t="s">
        <v>20</v>
      </c>
      <c r="C731" s="10" t="s">
        <v>1005</v>
      </c>
      <c r="D731" s="10" t="s">
        <v>1125</v>
      </c>
      <c r="E731" s="10" t="s">
        <v>1126</v>
      </c>
      <c r="F731" s="10">
        <v>36.477545185700002</v>
      </c>
      <c r="G731" s="10">
        <v>43.273720413600003</v>
      </c>
      <c r="H731" s="11">
        <v>1011</v>
      </c>
      <c r="I731" s="11">
        <v>6066</v>
      </c>
      <c r="J731" s="11"/>
      <c r="K731" s="11"/>
      <c r="L731" s="11"/>
      <c r="M731" s="11"/>
      <c r="N731" s="11">
        <v>155</v>
      </c>
      <c r="O731" s="11"/>
      <c r="P731" s="11"/>
      <c r="Q731" s="11"/>
      <c r="R731" s="11"/>
      <c r="S731" s="11"/>
      <c r="T731" s="11"/>
      <c r="U731" s="11">
        <v>3</v>
      </c>
      <c r="V731" s="11">
        <v>853</v>
      </c>
      <c r="W731" s="11"/>
      <c r="X731" s="11"/>
      <c r="Y731" s="11"/>
      <c r="Z731" s="11"/>
      <c r="AA731" s="11"/>
      <c r="AB731" s="11"/>
      <c r="AC731" s="11">
        <v>1011</v>
      </c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>
        <v>907</v>
      </c>
      <c r="AP731" s="11"/>
      <c r="AQ731" s="11"/>
      <c r="AR731" s="11"/>
      <c r="AS731" s="11">
        <v>104</v>
      </c>
      <c r="AT731" s="11"/>
      <c r="AU731" s="20" t="str">
        <f>HYPERLINK("http://www.openstreetmap.org/?mlat=36.4775&amp;mlon=43.2737&amp;zoom=12#map=12/36.4775/43.2737","Maplink1")</f>
        <v>Maplink1</v>
      </c>
      <c r="AV731" s="20" t="str">
        <f>HYPERLINK("https://www.google.iq/maps/search/+36.4775,43.2737/@36.4775,43.2737,14z?hl=en","Maplink2")</f>
        <v>Maplink2</v>
      </c>
      <c r="AW731" s="20" t="str">
        <f>HYPERLINK("http://www.bing.com/maps/?lvl=14&amp;sty=h&amp;cp=36.4775~43.2737&amp;sp=point.36.4775_43.2737","Maplink3")</f>
        <v>Maplink3</v>
      </c>
    </row>
    <row r="732" spans="1:49" s="19" customFormat="1" x14ac:dyDescent="0.25">
      <c r="A732" s="9">
        <v>21580</v>
      </c>
      <c r="B732" s="10" t="s">
        <v>20</v>
      </c>
      <c r="C732" s="10" t="s">
        <v>1005</v>
      </c>
      <c r="D732" s="10" t="s">
        <v>1127</v>
      </c>
      <c r="E732" s="10" t="s">
        <v>1128</v>
      </c>
      <c r="F732" s="10">
        <v>36.422829</v>
      </c>
      <c r="G732" s="10">
        <v>43.232275999999999</v>
      </c>
      <c r="H732" s="11">
        <v>424</v>
      </c>
      <c r="I732" s="11">
        <v>2544</v>
      </c>
      <c r="J732" s="11"/>
      <c r="K732" s="11">
        <v>2</v>
      </c>
      <c r="L732" s="11"/>
      <c r="M732" s="11"/>
      <c r="N732" s="11">
        <v>46</v>
      </c>
      <c r="O732" s="11"/>
      <c r="P732" s="11">
        <v>76</v>
      </c>
      <c r="Q732" s="11">
        <v>2</v>
      </c>
      <c r="R732" s="11">
        <v>1</v>
      </c>
      <c r="S732" s="11">
        <v>2</v>
      </c>
      <c r="T732" s="11"/>
      <c r="U732" s="11"/>
      <c r="V732" s="11">
        <v>289</v>
      </c>
      <c r="W732" s="11"/>
      <c r="X732" s="11"/>
      <c r="Y732" s="11">
        <v>5</v>
      </c>
      <c r="Z732" s="11"/>
      <c r="AA732" s="11">
        <v>1</v>
      </c>
      <c r="AB732" s="11"/>
      <c r="AC732" s="11">
        <v>424</v>
      </c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>
        <v>424</v>
      </c>
      <c r="AP732" s="11"/>
      <c r="AQ732" s="11"/>
      <c r="AR732" s="11"/>
      <c r="AS732" s="11"/>
      <c r="AT732" s="11"/>
      <c r="AU732" s="20" t="str">
        <f>HYPERLINK("http://www.openstreetmap.org/?mlat=36.4228&amp;mlon=43.2323&amp;zoom=12#map=12/36.4228/43.2323","Maplink1")</f>
        <v>Maplink1</v>
      </c>
      <c r="AV732" s="20" t="str">
        <f>HYPERLINK("https://www.google.iq/maps/search/+36.4228,43.2323/@36.4228,43.2323,14z?hl=en","Maplink2")</f>
        <v>Maplink2</v>
      </c>
      <c r="AW732" s="20" t="str">
        <f>HYPERLINK("http://www.bing.com/maps/?lvl=14&amp;sty=h&amp;cp=36.4228~43.2323&amp;sp=point.36.4228_43.2323","Maplink3")</f>
        <v>Maplink3</v>
      </c>
    </row>
    <row r="733" spans="1:49" s="19" customFormat="1" x14ac:dyDescent="0.25">
      <c r="A733" s="9">
        <v>31890</v>
      </c>
      <c r="B733" s="10" t="s">
        <v>20</v>
      </c>
      <c r="C733" s="10" t="s">
        <v>1005</v>
      </c>
      <c r="D733" s="10" t="s">
        <v>1129</v>
      </c>
      <c r="E733" s="10" t="s">
        <v>1130</v>
      </c>
      <c r="F733" s="10">
        <v>36.182980000000001</v>
      </c>
      <c r="G733" s="10">
        <v>43.232729999999997</v>
      </c>
      <c r="H733" s="11">
        <v>2550</v>
      </c>
      <c r="I733" s="11">
        <v>15300</v>
      </c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>
        <v>2550</v>
      </c>
      <c r="W733" s="11"/>
      <c r="X733" s="11"/>
      <c r="Y733" s="11"/>
      <c r="Z733" s="11"/>
      <c r="AA733" s="11"/>
      <c r="AB733" s="11"/>
      <c r="AC733" s="11">
        <v>2550</v>
      </c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>
        <v>2550</v>
      </c>
      <c r="AT733" s="11"/>
      <c r="AU733" s="20" t="str">
        <f>HYPERLINK("http://www.openstreetmap.org/?mlat=36.183&amp;mlon=43.2327&amp;zoom=12#map=12/36.183/43.2327","Maplink1")</f>
        <v>Maplink1</v>
      </c>
      <c r="AV733" s="20" t="str">
        <f>HYPERLINK("https://www.google.iq/maps/search/+36.183,43.2327/@36.183,43.2327,14z?hl=en","Maplink2")</f>
        <v>Maplink2</v>
      </c>
      <c r="AW733" s="20" t="str">
        <f>HYPERLINK("http://www.bing.com/maps/?lvl=14&amp;sty=h&amp;cp=36.183~43.2327&amp;sp=point.36.183_43.2327","Maplink3")</f>
        <v>Maplink3</v>
      </c>
    </row>
    <row r="734" spans="1:49" s="19" customFormat="1" x14ac:dyDescent="0.25">
      <c r="A734" s="9">
        <v>31893</v>
      </c>
      <c r="B734" s="10" t="s">
        <v>20</v>
      </c>
      <c r="C734" s="10" t="s">
        <v>1005</v>
      </c>
      <c r="D734" s="10" t="s">
        <v>1131</v>
      </c>
      <c r="E734" s="10" t="s">
        <v>1132</v>
      </c>
      <c r="F734" s="10">
        <v>35.900759999999998</v>
      </c>
      <c r="G734" s="10">
        <v>43.074590000000001</v>
      </c>
      <c r="H734" s="11">
        <v>100</v>
      </c>
      <c r="I734" s="11">
        <v>600</v>
      </c>
      <c r="J734" s="11"/>
      <c r="K734" s="11"/>
      <c r="L734" s="11"/>
      <c r="M734" s="11"/>
      <c r="N734" s="11"/>
      <c r="O734" s="11"/>
      <c r="P734" s="11">
        <v>10</v>
      </c>
      <c r="Q734" s="11"/>
      <c r="R734" s="11"/>
      <c r="S734" s="11"/>
      <c r="T734" s="11"/>
      <c r="U734" s="11"/>
      <c r="V734" s="11">
        <v>90</v>
      </c>
      <c r="W734" s="11"/>
      <c r="X734" s="11"/>
      <c r="Y734" s="11"/>
      <c r="Z734" s="11"/>
      <c r="AA734" s="11"/>
      <c r="AB734" s="11"/>
      <c r="AC734" s="11">
        <v>100</v>
      </c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>
        <v>10</v>
      </c>
      <c r="AO734" s="11"/>
      <c r="AP734" s="11"/>
      <c r="AQ734" s="11"/>
      <c r="AR734" s="11">
        <v>90</v>
      </c>
      <c r="AS734" s="11"/>
      <c r="AT734" s="11"/>
      <c r="AU734" s="20" t="str">
        <f>HYPERLINK("http://www.openstreetmap.org/?mlat=35.9008&amp;mlon=43.0746&amp;zoom=12#map=12/35.9008/43.0746","Maplink1")</f>
        <v>Maplink1</v>
      </c>
      <c r="AV734" s="20" t="str">
        <f>HYPERLINK("https://www.google.iq/maps/search/+35.9008,43.0746/@35.9008,43.0746,14z?hl=en","Maplink2")</f>
        <v>Maplink2</v>
      </c>
      <c r="AW734" s="20" t="str">
        <f>HYPERLINK("http://www.bing.com/maps/?lvl=14&amp;sty=h&amp;cp=35.9008~43.0746&amp;sp=point.35.9008_43.0746","Maplink3")</f>
        <v>Maplink3</v>
      </c>
    </row>
    <row r="735" spans="1:49" s="19" customFormat="1" x14ac:dyDescent="0.25">
      <c r="A735" s="9">
        <v>24379</v>
      </c>
      <c r="B735" s="10" t="s">
        <v>20</v>
      </c>
      <c r="C735" s="10" t="s">
        <v>1005</v>
      </c>
      <c r="D735" s="10" t="s">
        <v>1133</v>
      </c>
      <c r="E735" s="10" t="s">
        <v>1134</v>
      </c>
      <c r="F735" s="10">
        <v>36.403925999999998</v>
      </c>
      <c r="G735" s="10">
        <v>43.282671000000001</v>
      </c>
      <c r="H735" s="11">
        <v>170</v>
      </c>
      <c r="I735" s="11">
        <v>1020</v>
      </c>
      <c r="J735" s="11"/>
      <c r="K735" s="11"/>
      <c r="L735" s="11">
        <v>2</v>
      </c>
      <c r="M735" s="11"/>
      <c r="N735" s="11">
        <v>40</v>
      </c>
      <c r="O735" s="11"/>
      <c r="P735" s="11">
        <v>50</v>
      </c>
      <c r="Q735" s="11">
        <v>9</v>
      </c>
      <c r="R735" s="11"/>
      <c r="S735" s="11"/>
      <c r="T735" s="11"/>
      <c r="U735" s="11"/>
      <c r="V735" s="11">
        <v>63</v>
      </c>
      <c r="W735" s="11"/>
      <c r="X735" s="11"/>
      <c r="Y735" s="11">
        <v>6</v>
      </c>
      <c r="Z735" s="11"/>
      <c r="AA735" s="11"/>
      <c r="AB735" s="11"/>
      <c r="AC735" s="11">
        <v>170</v>
      </c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>
        <v>170</v>
      </c>
      <c r="AP735" s="11"/>
      <c r="AQ735" s="11"/>
      <c r="AR735" s="11"/>
      <c r="AS735" s="11"/>
      <c r="AT735" s="11"/>
      <c r="AU735" s="20" t="str">
        <f>HYPERLINK("http://www.openstreetmap.org/?mlat=36.4039&amp;mlon=43.2827&amp;zoom=12#map=12/36.4039/43.2827","Maplink1")</f>
        <v>Maplink1</v>
      </c>
      <c r="AV735" s="20" t="str">
        <f>HYPERLINK("https://www.google.iq/maps/search/+36.4039,43.2827/@36.4039,43.2827,14z?hl=en","Maplink2")</f>
        <v>Maplink2</v>
      </c>
      <c r="AW735" s="20" t="str">
        <f>HYPERLINK("http://www.bing.com/maps/?lvl=14&amp;sty=h&amp;cp=36.4039~43.2827&amp;sp=point.36.4039_43.2827","Maplink3")</f>
        <v>Maplink3</v>
      </c>
    </row>
    <row r="736" spans="1:49" s="19" customFormat="1" x14ac:dyDescent="0.25">
      <c r="A736" s="9">
        <v>17411</v>
      </c>
      <c r="B736" s="10" t="s">
        <v>20</v>
      </c>
      <c r="C736" s="10" t="s">
        <v>1005</v>
      </c>
      <c r="D736" s="10" t="s">
        <v>2168</v>
      </c>
      <c r="E736" s="10" t="s">
        <v>2169</v>
      </c>
      <c r="F736" s="10">
        <v>36.3857</v>
      </c>
      <c r="G736" s="10">
        <v>42.889600000000002</v>
      </c>
      <c r="H736" s="11">
        <v>155</v>
      </c>
      <c r="I736" s="11">
        <v>930</v>
      </c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>
        <v>155</v>
      </c>
      <c r="W736" s="11"/>
      <c r="X736" s="11"/>
      <c r="Y736" s="11"/>
      <c r="Z736" s="11"/>
      <c r="AA736" s="11"/>
      <c r="AB736" s="11"/>
      <c r="AC736" s="11">
        <v>155</v>
      </c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>
        <v>155</v>
      </c>
      <c r="AT736" s="11"/>
      <c r="AU736" s="20" t="str">
        <f>HYPERLINK("http://www.openstreetmap.org/?mlat=36.3857&amp;mlon=42.8896&amp;zoom=12#map=12/36.3857/42.8896","Maplink1")</f>
        <v>Maplink1</v>
      </c>
      <c r="AV736" s="20" t="str">
        <f>HYPERLINK("https://www.google.iq/maps/search/+36.3857,42.8896/@36.3857,42.8896,14z?hl=en","Maplink2")</f>
        <v>Maplink2</v>
      </c>
      <c r="AW736" s="20" t="str">
        <f>HYPERLINK("http://www.bing.com/maps/?lvl=14&amp;sty=h&amp;cp=36.3857~42.8896&amp;sp=point.36.3857_42.8896","Maplink3")</f>
        <v>Maplink3</v>
      </c>
    </row>
    <row r="737" spans="1:49" s="19" customFormat="1" x14ac:dyDescent="0.25">
      <c r="A737" s="9">
        <v>17902</v>
      </c>
      <c r="B737" s="10" t="s">
        <v>20</v>
      </c>
      <c r="C737" s="10" t="s">
        <v>1005</v>
      </c>
      <c r="D737" s="10" t="s">
        <v>1135</v>
      </c>
      <c r="E737" s="10" t="s">
        <v>1136</v>
      </c>
      <c r="F737" s="10">
        <v>36.044530000000002</v>
      </c>
      <c r="G737" s="10">
        <v>43.30977</v>
      </c>
      <c r="H737" s="11">
        <v>150</v>
      </c>
      <c r="I737" s="11">
        <v>900</v>
      </c>
      <c r="J737" s="11"/>
      <c r="K737" s="11"/>
      <c r="L737" s="11"/>
      <c r="M737" s="11"/>
      <c r="N737" s="11"/>
      <c r="O737" s="11"/>
      <c r="P737" s="11">
        <v>1</v>
      </c>
      <c r="Q737" s="11"/>
      <c r="R737" s="11">
        <v>2</v>
      </c>
      <c r="S737" s="11"/>
      <c r="T737" s="11"/>
      <c r="U737" s="11"/>
      <c r="V737" s="11">
        <v>147</v>
      </c>
      <c r="W737" s="11"/>
      <c r="X737" s="11"/>
      <c r="Y737" s="11"/>
      <c r="Z737" s="11"/>
      <c r="AA737" s="11"/>
      <c r="AB737" s="11"/>
      <c r="AC737" s="11">
        <v>150</v>
      </c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>
        <v>150</v>
      </c>
      <c r="AT737" s="11"/>
      <c r="AU737" s="20" t="str">
        <f>HYPERLINK("http://www.openstreetmap.org/?mlat=36.0445&amp;mlon=43.3098&amp;zoom=12#map=12/36.0445/43.3098","Maplink1")</f>
        <v>Maplink1</v>
      </c>
      <c r="AV737" s="20" t="str">
        <f>HYPERLINK("https://www.google.iq/maps/search/+36.0445,43.3098/@36.0445,43.3098,14z?hl=en","Maplink2")</f>
        <v>Maplink2</v>
      </c>
      <c r="AW737" s="20" t="str">
        <f>HYPERLINK("http://www.bing.com/maps/?lvl=14&amp;sty=h&amp;cp=36.0445~43.3098&amp;sp=point.36.0445_43.3098","Maplink3")</f>
        <v>Maplink3</v>
      </c>
    </row>
    <row r="738" spans="1:49" s="19" customFormat="1" x14ac:dyDescent="0.25">
      <c r="A738" s="9">
        <v>31889</v>
      </c>
      <c r="B738" s="10" t="s">
        <v>20</v>
      </c>
      <c r="C738" s="10" t="s">
        <v>1005</v>
      </c>
      <c r="D738" s="10" t="s">
        <v>1137</v>
      </c>
      <c r="E738" s="10" t="s">
        <v>1138</v>
      </c>
      <c r="F738" s="10">
        <v>36.244750000000003</v>
      </c>
      <c r="G738" s="10">
        <v>43.149439999999998</v>
      </c>
      <c r="H738" s="11">
        <v>31</v>
      </c>
      <c r="I738" s="11">
        <v>186</v>
      </c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>
        <v>31</v>
      </c>
      <c r="W738" s="11"/>
      <c r="X738" s="11"/>
      <c r="Y738" s="11"/>
      <c r="Z738" s="11"/>
      <c r="AA738" s="11"/>
      <c r="AB738" s="11"/>
      <c r="AC738" s="11">
        <v>31</v>
      </c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>
        <v>31</v>
      </c>
      <c r="AT738" s="11"/>
      <c r="AU738" s="20" t="str">
        <f>HYPERLINK("http://www.openstreetmap.org/?mlat=36.2448&amp;mlon=43.1494&amp;zoom=12#map=12/36.2448/43.1494","Maplink1")</f>
        <v>Maplink1</v>
      </c>
      <c r="AV738" s="20" t="str">
        <f>HYPERLINK("https://www.google.iq/maps/search/+36.2448,43.1494/@36.2448,43.1494,14z?hl=en","Maplink2")</f>
        <v>Maplink2</v>
      </c>
      <c r="AW738" s="20" t="str">
        <f>HYPERLINK("http://www.bing.com/maps/?lvl=14&amp;sty=h&amp;cp=36.2448~43.1494&amp;sp=point.36.2448_43.1494","Maplink3")</f>
        <v>Maplink3</v>
      </c>
    </row>
    <row r="739" spans="1:49" s="19" customFormat="1" x14ac:dyDescent="0.25">
      <c r="A739" s="9">
        <v>29666</v>
      </c>
      <c r="B739" s="10" t="s">
        <v>20</v>
      </c>
      <c r="C739" s="10" t="s">
        <v>1005</v>
      </c>
      <c r="D739" s="10" t="s">
        <v>1139</v>
      </c>
      <c r="E739" s="10" t="s">
        <v>1140</v>
      </c>
      <c r="F739" s="10">
        <v>35.838900000000002</v>
      </c>
      <c r="G739" s="10">
        <v>43.345857000000002</v>
      </c>
      <c r="H739" s="11">
        <v>1</v>
      </c>
      <c r="I739" s="11">
        <v>6</v>
      </c>
      <c r="J739" s="11"/>
      <c r="K739" s="11"/>
      <c r="L739" s="11"/>
      <c r="M739" s="11"/>
      <c r="N739" s="11"/>
      <c r="O739" s="11"/>
      <c r="P739" s="11">
        <v>1</v>
      </c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>
        <v>1</v>
      </c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>
        <v>1</v>
      </c>
      <c r="AP739" s="11"/>
      <c r="AQ739" s="11"/>
      <c r="AR739" s="11"/>
      <c r="AS739" s="11"/>
      <c r="AT739" s="11"/>
      <c r="AU739" s="20" t="str">
        <f>HYPERLINK("http://www.openstreetmap.org/?mlat=35.8389&amp;mlon=43.3459&amp;zoom=12#map=12/35.8389/43.3459","Maplink1")</f>
        <v>Maplink1</v>
      </c>
      <c r="AV739" s="20" t="str">
        <f>HYPERLINK("https://www.google.iq/maps/search/+35.8389,43.3459/@35.8389,43.3459,14z?hl=en","Maplink2")</f>
        <v>Maplink2</v>
      </c>
      <c r="AW739" s="20" t="str">
        <f>HYPERLINK("http://www.bing.com/maps/?lvl=14&amp;sty=h&amp;cp=35.8389~43.3459&amp;sp=point.35.8389_43.3459","Maplink3")</f>
        <v>Maplink3</v>
      </c>
    </row>
    <row r="740" spans="1:49" s="19" customFormat="1" x14ac:dyDescent="0.25">
      <c r="A740" s="9">
        <v>31892</v>
      </c>
      <c r="B740" s="10" t="s">
        <v>20</v>
      </c>
      <c r="C740" s="10" t="s">
        <v>1005</v>
      </c>
      <c r="D740" s="10" t="s">
        <v>1141</v>
      </c>
      <c r="E740" s="10" t="s">
        <v>1142</v>
      </c>
      <c r="F740" s="10">
        <v>35.903919999999999</v>
      </c>
      <c r="G740" s="10">
        <v>43.218530000000001</v>
      </c>
      <c r="H740" s="11">
        <v>30</v>
      </c>
      <c r="I740" s="11">
        <v>180</v>
      </c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>
        <v>30</v>
      </c>
      <c r="W740" s="11"/>
      <c r="X740" s="11"/>
      <c r="Y740" s="11"/>
      <c r="Z740" s="11"/>
      <c r="AA740" s="11"/>
      <c r="AB740" s="11"/>
      <c r="AC740" s="11">
        <v>30</v>
      </c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>
        <v>30</v>
      </c>
      <c r="AT740" s="11"/>
      <c r="AU740" s="20" t="str">
        <f>HYPERLINK("http://www.openstreetmap.org/?mlat=35.9039&amp;mlon=43.2185&amp;zoom=12#map=12/35.9039/43.2185","Maplink1")</f>
        <v>Maplink1</v>
      </c>
      <c r="AV740" s="20" t="str">
        <f>HYPERLINK("https://www.google.iq/maps/search/+35.9039,43.2185/@35.9039,43.2185,14z?hl=en","Maplink2")</f>
        <v>Maplink2</v>
      </c>
      <c r="AW740" s="20" t="str">
        <f>HYPERLINK("http://www.bing.com/maps/?lvl=14&amp;sty=h&amp;cp=35.9039~43.2185&amp;sp=point.35.9039_43.2185","Maplink3")</f>
        <v>Maplink3</v>
      </c>
    </row>
    <row r="741" spans="1:49" s="19" customFormat="1" x14ac:dyDescent="0.25">
      <c r="A741" s="9">
        <v>17922</v>
      </c>
      <c r="B741" s="10" t="s">
        <v>20</v>
      </c>
      <c r="C741" s="10" t="s">
        <v>1005</v>
      </c>
      <c r="D741" s="10" t="s">
        <v>1143</v>
      </c>
      <c r="E741" s="10" t="s">
        <v>1144</v>
      </c>
      <c r="F741" s="10">
        <v>35.992576</v>
      </c>
      <c r="G741" s="10">
        <v>43.220658999999998</v>
      </c>
      <c r="H741" s="11">
        <v>1855</v>
      </c>
      <c r="I741" s="11">
        <v>11130</v>
      </c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>
        <v>1855</v>
      </c>
      <c r="W741" s="11"/>
      <c r="X741" s="11"/>
      <c r="Y741" s="11"/>
      <c r="Z741" s="11"/>
      <c r="AA741" s="11"/>
      <c r="AB741" s="11"/>
      <c r="AC741" s="11">
        <v>1855</v>
      </c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>
        <v>1855</v>
      </c>
      <c r="AT741" s="11"/>
      <c r="AU741" s="20" t="str">
        <f>HYPERLINK("http://www.openstreetmap.org/?mlat=35.9926&amp;mlon=43.2207&amp;zoom=12#map=12/35.9926/43.2207","Maplink1")</f>
        <v>Maplink1</v>
      </c>
      <c r="AV741" s="20" t="str">
        <f>HYPERLINK("https://www.google.iq/maps/search/+35.9926,43.2207/@35.9926,43.2207,14z?hl=en","Maplink2")</f>
        <v>Maplink2</v>
      </c>
      <c r="AW741" s="20" t="str">
        <f>HYPERLINK("http://www.bing.com/maps/?lvl=14&amp;sty=h&amp;cp=35.9926~43.2207&amp;sp=point.35.9926_43.2207","Maplink3")</f>
        <v>Maplink3</v>
      </c>
    </row>
    <row r="742" spans="1:49" s="19" customFormat="1" x14ac:dyDescent="0.25">
      <c r="A742" s="9">
        <v>17921</v>
      </c>
      <c r="B742" s="10" t="s">
        <v>20</v>
      </c>
      <c r="C742" s="10" t="s">
        <v>1005</v>
      </c>
      <c r="D742" s="10" t="s">
        <v>1145</v>
      </c>
      <c r="E742" s="10" t="s">
        <v>1146</v>
      </c>
      <c r="F742" s="10">
        <v>35.935200000000002</v>
      </c>
      <c r="G742" s="10">
        <v>43.270099999999999</v>
      </c>
      <c r="H742" s="11">
        <v>153</v>
      </c>
      <c r="I742" s="11">
        <v>918</v>
      </c>
      <c r="J742" s="11"/>
      <c r="K742" s="11"/>
      <c r="L742" s="11">
        <v>1</v>
      </c>
      <c r="M742" s="11"/>
      <c r="N742" s="11"/>
      <c r="O742" s="11"/>
      <c r="P742" s="11"/>
      <c r="Q742" s="11"/>
      <c r="R742" s="11">
        <v>1</v>
      </c>
      <c r="S742" s="11"/>
      <c r="T742" s="11"/>
      <c r="U742" s="11"/>
      <c r="V742" s="11">
        <v>151</v>
      </c>
      <c r="W742" s="11"/>
      <c r="X742" s="11"/>
      <c r="Y742" s="11"/>
      <c r="Z742" s="11"/>
      <c r="AA742" s="11"/>
      <c r="AB742" s="11"/>
      <c r="AC742" s="11">
        <v>153</v>
      </c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>
        <v>153</v>
      </c>
      <c r="AT742" s="11"/>
      <c r="AU742" s="20" t="str">
        <f>HYPERLINK("http://www.openstreetmap.org/?mlat=35.9352&amp;mlon=43.2701&amp;zoom=12#map=12/35.9352/43.2701","Maplink1")</f>
        <v>Maplink1</v>
      </c>
      <c r="AV742" s="20" t="str">
        <f>HYPERLINK("https://www.google.iq/maps/search/+35.9352,43.2701/@35.9352,43.2701,14z?hl=en","Maplink2")</f>
        <v>Maplink2</v>
      </c>
      <c r="AW742" s="20" t="str">
        <f>HYPERLINK("http://www.bing.com/maps/?lvl=14&amp;sty=h&amp;cp=35.9352~43.2701&amp;sp=point.35.9352_43.2701","Maplink3")</f>
        <v>Maplink3</v>
      </c>
    </row>
    <row r="743" spans="1:49" s="19" customFormat="1" x14ac:dyDescent="0.25">
      <c r="A743" s="9">
        <v>31886</v>
      </c>
      <c r="B743" s="10" t="s">
        <v>20</v>
      </c>
      <c r="C743" s="10" t="s">
        <v>1005</v>
      </c>
      <c r="D743" s="10" t="s">
        <v>1147</v>
      </c>
      <c r="E743" s="10" t="s">
        <v>1148</v>
      </c>
      <c r="F743" s="10">
        <v>36.169798</v>
      </c>
      <c r="G743" s="10">
        <v>43.213689000000002</v>
      </c>
      <c r="H743" s="11">
        <v>80</v>
      </c>
      <c r="I743" s="11">
        <v>480</v>
      </c>
      <c r="J743" s="11"/>
      <c r="K743" s="11"/>
      <c r="L743" s="11"/>
      <c r="M743" s="11"/>
      <c r="N743" s="11"/>
      <c r="O743" s="11"/>
      <c r="P743" s="11"/>
      <c r="Q743" s="11"/>
      <c r="R743" s="11">
        <v>30</v>
      </c>
      <c r="S743" s="11"/>
      <c r="T743" s="11"/>
      <c r="U743" s="11"/>
      <c r="V743" s="11">
        <v>50</v>
      </c>
      <c r="W743" s="11"/>
      <c r="X743" s="11"/>
      <c r="Y743" s="11"/>
      <c r="Z743" s="11"/>
      <c r="AA743" s="11"/>
      <c r="AB743" s="11"/>
      <c r="AC743" s="11">
        <v>80</v>
      </c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>
        <v>30</v>
      </c>
      <c r="AQ743" s="11"/>
      <c r="AR743" s="11"/>
      <c r="AS743" s="11">
        <v>50</v>
      </c>
      <c r="AT743" s="11"/>
      <c r="AU743" s="20" t="str">
        <f>HYPERLINK("http://www.openstreetmap.org/?mlat=36.1698&amp;mlon=43.2137&amp;zoom=12#map=12/36.1698/43.2137","Maplink1")</f>
        <v>Maplink1</v>
      </c>
      <c r="AV743" s="20" t="str">
        <f>HYPERLINK("https://www.google.iq/maps/search/+36.1698,43.2137/@36.1698,43.2137,14z?hl=en","Maplink2")</f>
        <v>Maplink2</v>
      </c>
      <c r="AW743" s="20" t="str">
        <f>HYPERLINK("http://www.bing.com/maps/?lvl=14&amp;sty=h&amp;cp=36.1698~43.2137&amp;sp=point.36.1698_43.2137","Maplink3")</f>
        <v>Maplink3</v>
      </c>
    </row>
    <row r="744" spans="1:49" s="19" customFormat="1" x14ac:dyDescent="0.25">
      <c r="A744" s="9">
        <v>33200</v>
      </c>
      <c r="B744" s="10" t="s">
        <v>20</v>
      </c>
      <c r="C744" s="10" t="s">
        <v>1005</v>
      </c>
      <c r="D744" s="10" t="s">
        <v>1958</v>
      </c>
      <c r="E744" s="10" t="s">
        <v>1959</v>
      </c>
      <c r="F744" s="10">
        <v>36.124738999999998</v>
      </c>
      <c r="G744" s="10">
        <v>42.777948000000002</v>
      </c>
      <c r="H744" s="11">
        <v>20</v>
      </c>
      <c r="I744" s="11">
        <v>120</v>
      </c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>
        <v>20</v>
      </c>
      <c r="W744" s="11"/>
      <c r="X744" s="11"/>
      <c r="Y744" s="11"/>
      <c r="Z744" s="11"/>
      <c r="AA744" s="11"/>
      <c r="AB744" s="11"/>
      <c r="AC744" s="11">
        <v>20</v>
      </c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>
        <v>20</v>
      </c>
      <c r="AT744" s="11"/>
      <c r="AU744" s="20" t="str">
        <f>HYPERLINK("http://www.openstreetmap.org/?mlat=36.1247&amp;mlon=42.7779&amp;zoom=12#map=12/36.1247/42.7779","Maplink1")</f>
        <v>Maplink1</v>
      </c>
      <c r="AV744" s="20" t="str">
        <f>HYPERLINK("https://www.google.iq/maps/search/+36.1247,42.7779/@36.1247,42.7779,14z?hl=en","Maplink2")</f>
        <v>Maplink2</v>
      </c>
      <c r="AW744" s="20" t="str">
        <f>HYPERLINK("http://www.bing.com/maps/?lvl=14&amp;sty=h&amp;cp=36.1247~42.7779&amp;sp=point.36.1247_42.7779","Maplink3")</f>
        <v>Maplink3</v>
      </c>
    </row>
    <row r="745" spans="1:49" s="19" customFormat="1" x14ac:dyDescent="0.25">
      <c r="A745" s="9">
        <v>31884</v>
      </c>
      <c r="B745" s="10" t="s">
        <v>20</v>
      </c>
      <c r="C745" s="10" t="s">
        <v>1005</v>
      </c>
      <c r="D745" s="10" t="s">
        <v>1149</v>
      </c>
      <c r="E745" s="10" t="s">
        <v>1150</v>
      </c>
      <c r="F745" s="10">
        <v>36.147499000000003</v>
      </c>
      <c r="G745" s="10">
        <v>43.221722</v>
      </c>
      <c r="H745" s="11">
        <v>84</v>
      </c>
      <c r="I745" s="11">
        <v>504</v>
      </c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>
        <v>84</v>
      </c>
      <c r="W745" s="11"/>
      <c r="X745" s="11"/>
      <c r="Y745" s="11"/>
      <c r="Z745" s="11"/>
      <c r="AA745" s="11"/>
      <c r="AB745" s="11"/>
      <c r="AC745" s="11">
        <v>84</v>
      </c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>
        <v>84</v>
      </c>
      <c r="AT745" s="11"/>
      <c r="AU745" s="20" t="str">
        <f>HYPERLINK("http://www.openstreetmap.org/?mlat=36.1475&amp;mlon=43.2217&amp;zoom=12#map=12/36.1475/43.2217","Maplink1")</f>
        <v>Maplink1</v>
      </c>
      <c r="AV745" s="20" t="str">
        <f>HYPERLINK("https://www.google.iq/maps/search/+36.1475,43.2217/@36.1475,43.2217,14z?hl=en","Maplink2")</f>
        <v>Maplink2</v>
      </c>
      <c r="AW745" s="20" t="str">
        <f>HYPERLINK("http://www.bing.com/maps/?lvl=14&amp;sty=h&amp;cp=36.1475~43.2217&amp;sp=point.36.1475_43.2217","Maplink3")</f>
        <v>Maplink3</v>
      </c>
    </row>
    <row r="746" spans="1:49" s="19" customFormat="1" x14ac:dyDescent="0.25">
      <c r="A746" s="9">
        <v>18040</v>
      </c>
      <c r="B746" s="10" t="s">
        <v>20</v>
      </c>
      <c r="C746" s="10" t="s">
        <v>1005</v>
      </c>
      <c r="D746" s="10" t="s">
        <v>1776</v>
      </c>
      <c r="E746" s="10" t="s">
        <v>1778</v>
      </c>
      <c r="F746" s="10">
        <v>36.413716000000001</v>
      </c>
      <c r="G746" s="10">
        <v>42.968387</v>
      </c>
      <c r="H746" s="11">
        <v>140</v>
      </c>
      <c r="I746" s="11">
        <v>840</v>
      </c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>
        <v>140</v>
      </c>
      <c r="W746" s="11"/>
      <c r="X746" s="11"/>
      <c r="Y746" s="11"/>
      <c r="Z746" s="11"/>
      <c r="AA746" s="11"/>
      <c r="AB746" s="11"/>
      <c r="AC746" s="11">
        <v>140</v>
      </c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>
        <v>140</v>
      </c>
      <c r="AT746" s="11"/>
      <c r="AU746" s="20" t="str">
        <f>HYPERLINK("http://www.openstreetmap.org/?mlat=36.4137&amp;mlon=42.9684&amp;zoom=12#map=12/36.4137/42.9684","Maplink1")</f>
        <v>Maplink1</v>
      </c>
      <c r="AV746" s="20" t="str">
        <f>HYPERLINK("https://www.google.iq/maps/search/+36.4137,42.9684/@36.4137,42.9684,14z?hl=en","Maplink2")</f>
        <v>Maplink2</v>
      </c>
      <c r="AW746" s="20" t="str">
        <f>HYPERLINK("http://www.bing.com/maps/?lvl=14&amp;sty=h&amp;cp=36.4137~42.9684&amp;sp=point.36.4137_42.9684","Maplink3")</f>
        <v>Maplink3</v>
      </c>
    </row>
    <row r="747" spans="1:49" s="19" customFormat="1" x14ac:dyDescent="0.25">
      <c r="A747" s="9">
        <v>33174</v>
      </c>
      <c r="B747" s="10" t="s">
        <v>20</v>
      </c>
      <c r="C747" s="10" t="s">
        <v>1005</v>
      </c>
      <c r="D747" s="10" t="s">
        <v>1776</v>
      </c>
      <c r="E747" s="10" t="s">
        <v>1777</v>
      </c>
      <c r="F747" s="10">
        <v>36.412571999999997</v>
      </c>
      <c r="G747" s="10">
        <v>42.968499999999999</v>
      </c>
      <c r="H747" s="11">
        <v>1000</v>
      </c>
      <c r="I747" s="11">
        <v>6000</v>
      </c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>
        <v>1000</v>
      </c>
      <c r="W747" s="11"/>
      <c r="X747" s="11"/>
      <c r="Y747" s="11"/>
      <c r="Z747" s="11"/>
      <c r="AA747" s="11"/>
      <c r="AB747" s="11"/>
      <c r="AC747" s="11">
        <v>1000</v>
      </c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>
        <v>1000</v>
      </c>
      <c r="AT747" s="11"/>
      <c r="AU747" s="20" t="str">
        <f>HYPERLINK("http://www.openstreetmap.org/?mlat=36.4126&amp;mlon=42.9685&amp;zoom=12#map=12/36.4126/42.9685","Maplink1")</f>
        <v>Maplink1</v>
      </c>
      <c r="AV747" s="20" t="str">
        <f>HYPERLINK("https://www.google.iq/maps/search/+36.4126,42.9685/@36.4126,42.9685,14z?hl=en","Maplink2")</f>
        <v>Maplink2</v>
      </c>
      <c r="AW747" s="20" t="str">
        <f>HYPERLINK("http://www.bing.com/maps/?lvl=14&amp;sty=h&amp;cp=36.4126~42.9685&amp;sp=point.36.4126_42.9685","Maplink3")</f>
        <v>Maplink3</v>
      </c>
    </row>
    <row r="748" spans="1:49" s="19" customFormat="1" x14ac:dyDescent="0.25">
      <c r="A748" s="9">
        <v>24203</v>
      </c>
      <c r="B748" s="10" t="s">
        <v>20</v>
      </c>
      <c r="C748" s="10" t="s">
        <v>1005</v>
      </c>
      <c r="D748" s="10" t="s">
        <v>1151</v>
      </c>
      <c r="E748" s="10" t="s">
        <v>1152</v>
      </c>
      <c r="F748" s="10">
        <v>36.408839999999998</v>
      </c>
      <c r="G748" s="10">
        <v>43.380549000000002</v>
      </c>
      <c r="H748" s="11">
        <v>591</v>
      </c>
      <c r="I748" s="11">
        <v>3546</v>
      </c>
      <c r="J748" s="11"/>
      <c r="K748" s="11">
        <v>4</v>
      </c>
      <c r="L748" s="11">
        <v>11</v>
      </c>
      <c r="M748" s="11">
        <v>5</v>
      </c>
      <c r="N748" s="11">
        <v>10</v>
      </c>
      <c r="O748" s="11">
        <v>40</v>
      </c>
      <c r="P748" s="11">
        <v>188</v>
      </c>
      <c r="Q748" s="11">
        <v>37</v>
      </c>
      <c r="R748" s="11">
        <v>3</v>
      </c>
      <c r="S748" s="11"/>
      <c r="T748" s="11">
        <v>23</v>
      </c>
      <c r="U748" s="11">
        <v>83</v>
      </c>
      <c r="V748" s="11">
        <v>139</v>
      </c>
      <c r="W748" s="11">
        <v>14</v>
      </c>
      <c r="X748" s="11"/>
      <c r="Y748" s="11">
        <v>2</v>
      </c>
      <c r="Z748" s="11">
        <v>6</v>
      </c>
      <c r="AA748" s="11">
        <v>26</v>
      </c>
      <c r="AB748" s="11"/>
      <c r="AC748" s="11">
        <v>576</v>
      </c>
      <c r="AD748" s="11"/>
      <c r="AE748" s="11"/>
      <c r="AF748" s="11"/>
      <c r="AG748" s="11"/>
      <c r="AH748" s="11"/>
      <c r="AI748" s="11"/>
      <c r="AJ748" s="11"/>
      <c r="AK748" s="11">
        <v>15</v>
      </c>
      <c r="AL748" s="11"/>
      <c r="AM748" s="11"/>
      <c r="AN748" s="11"/>
      <c r="AO748" s="11">
        <v>591</v>
      </c>
      <c r="AP748" s="11"/>
      <c r="AQ748" s="11"/>
      <c r="AR748" s="11"/>
      <c r="AS748" s="11"/>
      <c r="AT748" s="11"/>
      <c r="AU748" s="20" t="str">
        <f>HYPERLINK("http://www.openstreetmap.org/?mlat=36.4088&amp;mlon=43.3805&amp;zoom=12#map=12/36.4088/43.3805","Maplink1")</f>
        <v>Maplink1</v>
      </c>
      <c r="AV748" s="20" t="str">
        <f>HYPERLINK("https://www.google.iq/maps/search/+36.4088,43.3805/@36.4088,43.3805,14z?hl=en","Maplink2")</f>
        <v>Maplink2</v>
      </c>
      <c r="AW748" s="20" t="str">
        <f>HYPERLINK("http://www.bing.com/maps/?lvl=14&amp;sty=h&amp;cp=36.4088~43.3805&amp;sp=point.36.4088_43.3805","Maplink3")</f>
        <v>Maplink3</v>
      </c>
    </row>
    <row r="749" spans="1:49" s="19" customFormat="1" x14ac:dyDescent="0.25">
      <c r="A749" s="9">
        <v>24384</v>
      </c>
      <c r="B749" s="10" t="s">
        <v>20</v>
      </c>
      <c r="C749" s="10" t="s">
        <v>1005</v>
      </c>
      <c r="D749" s="10" t="s">
        <v>1153</v>
      </c>
      <c r="E749" s="10" t="s">
        <v>1154</v>
      </c>
      <c r="F749" s="10">
        <v>36.399686000000003</v>
      </c>
      <c r="G749" s="10">
        <v>43.379949000000003</v>
      </c>
      <c r="H749" s="11">
        <v>120</v>
      </c>
      <c r="I749" s="11">
        <v>720</v>
      </c>
      <c r="J749" s="11"/>
      <c r="K749" s="11"/>
      <c r="L749" s="11"/>
      <c r="M749" s="11"/>
      <c r="N749" s="11">
        <v>16</v>
      </c>
      <c r="O749" s="11"/>
      <c r="P749" s="11">
        <v>20</v>
      </c>
      <c r="Q749" s="11"/>
      <c r="R749" s="11"/>
      <c r="S749" s="11">
        <v>12</v>
      </c>
      <c r="T749" s="11"/>
      <c r="U749" s="11">
        <v>12</v>
      </c>
      <c r="V749" s="11">
        <v>15</v>
      </c>
      <c r="W749" s="11">
        <v>25</v>
      </c>
      <c r="X749" s="11"/>
      <c r="Y749" s="11"/>
      <c r="Z749" s="11"/>
      <c r="AA749" s="11">
        <v>20</v>
      </c>
      <c r="AB749" s="11"/>
      <c r="AC749" s="11">
        <v>120</v>
      </c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>
        <v>120</v>
      </c>
      <c r="AP749" s="11"/>
      <c r="AQ749" s="11"/>
      <c r="AR749" s="11"/>
      <c r="AS749" s="11"/>
      <c r="AT749" s="11"/>
      <c r="AU749" s="20" t="str">
        <f>HYPERLINK("http://www.openstreetmap.org/?mlat=36.3997&amp;mlon=43.3799&amp;zoom=12#map=12/36.3997/43.3799","Maplink1")</f>
        <v>Maplink1</v>
      </c>
      <c r="AV749" s="20" t="str">
        <f>HYPERLINK("https://www.google.iq/maps/search/+36.3997,43.3799/@36.3997,43.3799,14z?hl=en","Maplink2")</f>
        <v>Maplink2</v>
      </c>
      <c r="AW749" s="20" t="str">
        <f>HYPERLINK("http://www.bing.com/maps/?lvl=14&amp;sty=h&amp;cp=36.3997~43.3799&amp;sp=point.36.3997_43.3799","Maplink3")</f>
        <v>Maplink3</v>
      </c>
    </row>
    <row r="750" spans="1:49" s="19" customFormat="1" x14ac:dyDescent="0.25">
      <c r="A750" s="9">
        <v>22431</v>
      </c>
      <c r="B750" s="10" t="s">
        <v>20</v>
      </c>
      <c r="C750" s="10" t="s">
        <v>1005</v>
      </c>
      <c r="D750" s="10" t="s">
        <v>1155</v>
      </c>
      <c r="E750" s="10" t="s">
        <v>1156</v>
      </c>
      <c r="F750" s="10">
        <v>36.446199999999997</v>
      </c>
      <c r="G750" s="10">
        <v>43.254100000000001</v>
      </c>
      <c r="H750" s="11">
        <v>227</v>
      </c>
      <c r="I750" s="11">
        <v>1362</v>
      </c>
      <c r="J750" s="11"/>
      <c r="K750" s="11">
        <v>1</v>
      </c>
      <c r="L750" s="11"/>
      <c r="M750" s="11"/>
      <c r="N750" s="11">
        <v>30</v>
      </c>
      <c r="O750" s="11">
        <v>1</v>
      </c>
      <c r="P750" s="11">
        <v>36</v>
      </c>
      <c r="Q750" s="11"/>
      <c r="R750" s="11"/>
      <c r="S750" s="11"/>
      <c r="T750" s="11"/>
      <c r="U750" s="11"/>
      <c r="V750" s="11">
        <v>126</v>
      </c>
      <c r="W750" s="11">
        <v>4</v>
      </c>
      <c r="X750" s="11"/>
      <c r="Y750" s="11">
        <v>16</v>
      </c>
      <c r="Z750" s="11"/>
      <c r="AA750" s="11">
        <v>13</v>
      </c>
      <c r="AB750" s="11"/>
      <c r="AC750" s="11">
        <v>227</v>
      </c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>
        <v>227</v>
      </c>
      <c r="AP750" s="11"/>
      <c r="AQ750" s="11"/>
      <c r="AR750" s="11"/>
      <c r="AS750" s="11"/>
      <c r="AT750" s="11"/>
      <c r="AU750" s="20" t="str">
        <f>HYPERLINK("http://www.openstreetmap.org/?mlat=36.4462&amp;mlon=43.2541&amp;zoom=12#map=12/36.4462/43.2541","Maplink1")</f>
        <v>Maplink1</v>
      </c>
      <c r="AV750" s="20" t="str">
        <f>HYPERLINK("https://www.google.iq/maps/search/+36.4462,43.2541/@36.4462,43.2541,14z?hl=en","Maplink2")</f>
        <v>Maplink2</v>
      </c>
      <c r="AW750" s="20" t="str">
        <f>HYPERLINK("http://www.bing.com/maps/?lvl=14&amp;sty=h&amp;cp=36.4462~43.2541&amp;sp=point.36.4462_43.2541","Maplink3")</f>
        <v>Maplink3</v>
      </c>
    </row>
    <row r="751" spans="1:49" s="19" customFormat="1" x14ac:dyDescent="0.25">
      <c r="A751" s="9">
        <v>32049</v>
      </c>
      <c r="B751" s="10" t="s">
        <v>20</v>
      </c>
      <c r="C751" s="10" t="s">
        <v>1005</v>
      </c>
      <c r="D751" s="10" t="s">
        <v>1157</v>
      </c>
      <c r="E751" s="10" t="s">
        <v>1158</v>
      </c>
      <c r="F751" s="10">
        <v>35.987192999999998</v>
      </c>
      <c r="G751" s="10">
        <v>43.107816</v>
      </c>
      <c r="H751" s="11">
        <v>68</v>
      </c>
      <c r="I751" s="11">
        <v>408</v>
      </c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>
        <v>68</v>
      </c>
      <c r="W751" s="11"/>
      <c r="X751" s="11"/>
      <c r="Y751" s="11"/>
      <c r="Z751" s="11"/>
      <c r="AA751" s="11"/>
      <c r="AB751" s="11"/>
      <c r="AC751" s="11">
        <v>68</v>
      </c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>
        <v>68</v>
      </c>
      <c r="AT751" s="11"/>
      <c r="AU751" s="20" t="str">
        <f>HYPERLINK("http://www.openstreetmap.org/?mlat=35.9872&amp;mlon=43.1078&amp;zoom=12#map=12/35.9872/43.1078","Maplink1")</f>
        <v>Maplink1</v>
      </c>
      <c r="AV751" s="20" t="str">
        <f>HYPERLINK("https://www.google.iq/maps/search/+35.9872,43.1078/@35.9872,43.1078,14z?hl=en","Maplink2")</f>
        <v>Maplink2</v>
      </c>
      <c r="AW751" s="20" t="str">
        <f>HYPERLINK("http://www.bing.com/maps/?lvl=14&amp;sty=h&amp;cp=35.9872~43.1078&amp;sp=point.35.9872_43.1078","Maplink3")</f>
        <v>Maplink3</v>
      </c>
    </row>
    <row r="752" spans="1:49" s="19" customFormat="1" x14ac:dyDescent="0.25">
      <c r="A752" s="9">
        <v>17965</v>
      </c>
      <c r="B752" s="10" t="s">
        <v>20</v>
      </c>
      <c r="C752" s="10" t="s">
        <v>1005</v>
      </c>
      <c r="D752" s="10" t="s">
        <v>1159</v>
      </c>
      <c r="E752" s="10" t="s">
        <v>1160</v>
      </c>
      <c r="F752" s="10">
        <v>35.943519000000002</v>
      </c>
      <c r="G752" s="10">
        <v>43.318930999999999</v>
      </c>
      <c r="H752" s="11">
        <v>5001</v>
      </c>
      <c r="I752" s="11">
        <v>30006</v>
      </c>
      <c r="J752" s="11"/>
      <c r="K752" s="11"/>
      <c r="L752" s="11"/>
      <c r="M752" s="11"/>
      <c r="N752" s="11"/>
      <c r="O752" s="11"/>
      <c r="P752" s="11">
        <v>10</v>
      </c>
      <c r="Q752" s="11"/>
      <c r="R752" s="11">
        <v>5</v>
      </c>
      <c r="S752" s="11"/>
      <c r="T752" s="11"/>
      <c r="U752" s="11"/>
      <c r="V752" s="11">
        <v>4985</v>
      </c>
      <c r="W752" s="11"/>
      <c r="X752" s="11"/>
      <c r="Y752" s="11">
        <v>1</v>
      </c>
      <c r="Z752" s="11"/>
      <c r="AA752" s="11"/>
      <c r="AB752" s="11"/>
      <c r="AC752" s="11">
        <v>5001</v>
      </c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>
        <v>1</v>
      </c>
      <c r="AP752" s="11">
        <v>15</v>
      </c>
      <c r="AQ752" s="11"/>
      <c r="AR752" s="11"/>
      <c r="AS752" s="11">
        <v>4985</v>
      </c>
      <c r="AT752" s="11"/>
      <c r="AU752" s="20" t="str">
        <f>HYPERLINK("http://www.openstreetmap.org/?mlat=35.9435&amp;mlon=43.3189&amp;zoom=12#map=12/35.9435/43.3189","Maplink1")</f>
        <v>Maplink1</v>
      </c>
      <c r="AV752" s="20" t="str">
        <f>HYPERLINK("https://www.google.iq/maps/search/+35.9435,43.3189/@35.9435,43.3189,14z?hl=en","Maplink2")</f>
        <v>Maplink2</v>
      </c>
      <c r="AW752" s="20" t="str">
        <f>HYPERLINK("http://www.bing.com/maps/?lvl=14&amp;sty=h&amp;cp=35.9435~43.3189&amp;sp=point.35.9435_43.3189","Maplink3")</f>
        <v>Maplink3</v>
      </c>
    </row>
    <row r="753" spans="1:49" s="19" customFormat="1" x14ac:dyDescent="0.25">
      <c r="A753" s="9">
        <v>21583</v>
      </c>
      <c r="B753" s="10" t="s">
        <v>20</v>
      </c>
      <c r="C753" s="10" t="s">
        <v>1005</v>
      </c>
      <c r="D753" s="10" t="s">
        <v>1161</v>
      </c>
      <c r="E753" s="10" t="s">
        <v>1162</v>
      </c>
      <c r="F753" s="10">
        <v>36.386099999999999</v>
      </c>
      <c r="G753" s="10">
        <v>43.352200000000003</v>
      </c>
      <c r="H753" s="11">
        <v>852</v>
      </c>
      <c r="I753" s="11">
        <v>5112</v>
      </c>
      <c r="J753" s="11"/>
      <c r="K753" s="11">
        <v>17</v>
      </c>
      <c r="L753" s="11">
        <v>2</v>
      </c>
      <c r="M753" s="11"/>
      <c r="N753" s="11">
        <v>71</v>
      </c>
      <c r="O753" s="11"/>
      <c r="P753" s="11">
        <v>184</v>
      </c>
      <c r="Q753" s="11">
        <v>45</v>
      </c>
      <c r="R753" s="11"/>
      <c r="S753" s="11"/>
      <c r="T753" s="11"/>
      <c r="U753" s="11">
        <v>19</v>
      </c>
      <c r="V753" s="11">
        <v>452</v>
      </c>
      <c r="W753" s="11">
        <v>2</v>
      </c>
      <c r="X753" s="11"/>
      <c r="Y753" s="11">
        <v>54</v>
      </c>
      <c r="Z753" s="11"/>
      <c r="AA753" s="11">
        <v>6</v>
      </c>
      <c r="AB753" s="11"/>
      <c r="AC753" s="11">
        <v>852</v>
      </c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>
        <v>682</v>
      </c>
      <c r="AP753" s="11"/>
      <c r="AQ753" s="11"/>
      <c r="AR753" s="11"/>
      <c r="AS753" s="11">
        <v>170</v>
      </c>
      <c r="AT753" s="11"/>
      <c r="AU753" s="20" t="str">
        <f>HYPERLINK("http://www.openstreetmap.org/?mlat=36.3861&amp;mlon=43.3522&amp;zoom=12#map=12/36.3861/43.3522","Maplink1")</f>
        <v>Maplink1</v>
      </c>
      <c r="AV753" s="20" t="str">
        <f>HYPERLINK("https://www.google.iq/maps/search/+36.3861,43.3522/@36.3861,43.3522,14z?hl=en","Maplink2")</f>
        <v>Maplink2</v>
      </c>
      <c r="AW753" s="20" t="str">
        <f>HYPERLINK("http://www.bing.com/maps/?lvl=14&amp;sty=h&amp;cp=36.3861~43.3522&amp;sp=point.36.3861_43.3522","Maplink3")</f>
        <v>Maplink3</v>
      </c>
    </row>
    <row r="754" spans="1:49" s="19" customFormat="1" x14ac:dyDescent="0.25">
      <c r="A754" s="9">
        <v>33198</v>
      </c>
      <c r="B754" s="10" t="s">
        <v>20</v>
      </c>
      <c r="C754" s="10" t="s">
        <v>1005</v>
      </c>
      <c r="D754" s="10" t="s">
        <v>1960</v>
      </c>
      <c r="E754" s="10" t="s">
        <v>1961</v>
      </c>
      <c r="F754" s="10">
        <v>35.997965999999998</v>
      </c>
      <c r="G754" s="10">
        <v>42.781179999999999</v>
      </c>
      <c r="H754" s="11">
        <v>50</v>
      </c>
      <c r="I754" s="11">
        <v>300</v>
      </c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>
        <v>50</v>
      </c>
      <c r="W754" s="11"/>
      <c r="X754" s="11"/>
      <c r="Y754" s="11"/>
      <c r="Z754" s="11"/>
      <c r="AA754" s="11"/>
      <c r="AB754" s="11"/>
      <c r="AC754" s="11">
        <v>50</v>
      </c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>
        <v>50</v>
      </c>
      <c r="AS754" s="11"/>
      <c r="AT754" s="11"/>
      <c r="AU754" s="20" t="str">
        <f>HYPERLINK("http://www.openstreetmap.org/?mlat=35.998&amp;mlon=42.7812&amp;zoom=12#map=12/35.998/42.7812","Maplink1")</f>
        <v>Maplink1</v>
      </c>
      <c r="AV754" s="20" t="str">
        <f>HYPERLINK("https://www.google.iq/maps/search/+35.998,42.7812/@35.998,42.7812,14z?hl=en","Maplink2")</f>
        <v>Maplink2</v>
      </c>
      <c r="AW754" s="20" t="str">
        <f>HYPERLINK("http://www.bing.com/maps/?lvl=14&amp;sty=h&amp;cp=35.998~42.7812&amp;sp=point.35.998_42.7812","Maplink3")</f>
        <v>Maplink3</v>
      </c>
    </row>
    <row r="755" spans="1:49" s="19" customFormat="1" x14ac:dyDescent="0.25">
      <c r="A755" s="9">
        <v>27396</v>
      </c>
      <c r="B755" s="10" t="s">
        <v>20</v>
      </c>
      <c r="C755" s="10" t="s">
        <v>1163</v>
      </c>
      <c r="D755" s="10" t="s">
        <v>1164</v>
      </c>
      <c r="E755" s="10" t="s">
        <v>1165</v>
      </c>
      <c r="F755" s="10">
        <v>36.442680490000001</v>
      </c>
      <c r="G755" s="10">
        <v>41.75859475</v>
      </c>
      <c r="H755" s="11">
        <v>164</v>
      </c>
      <c r="I755" s="11">
        <v>984</v>
      </c>
      <c r="J755" s="11"/>
      <c r="K755" s="11"/>
      <c r="L755" s="11"/>
      <c r="M755" s="11"/>
      <c r="N755" s="11">
        <v>145</v>
      </c>
      <c r="O755" s="11"/>
      <c r="P755" s="11"/>
      <c r="Q755" s="11"/>
      <c r="R755" s="11"/>
      <c r="S755" s="11"/>
      <c r="T755" s="11"/>
      <c r="U755" s="11"/>
      <c r="V755" s="11">
        <v>19</v>
      </c>
      <c r="W755" s="11"/>
      <c r="X755" s="11"/>
      <c r="Y755" s="11"/>
      <c r="Z755" s="11"/>
      <c r="AA755" s="11"/>
      <c r="AB755" s="11"/>
      <c r="AC755" s="11">
        <v>164</v>
      </c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>
        <v>164</v>
      </c>
      <c r="AP755" s="11"/>
      <c r="AQ755" s="11"/>
      <c r="AR755" s="11"/>
      <c r="AS755" s="11"/>
      <c r="AT755" s="11"/>
      <c r="AU755" s="20" t="str">
        <f>HYPERLINK("http://www.openstreetmap.org/?mlat=36.4427&amp;mlon=41.7586&amp;zoom=12#map=12/36.4427/41.7586","Maplink1")</f>
        <v>Maplink1</v>
      </c>
      <c r="AV755" s="20" t="str">
        <f>HYPERLINK("https://www.google.iq/maps/search/+36.4427,41.7586/@36.4427,41.7586,14z?hl=en","Maplink2")</f>
        <v>Maplink2</v>
      </c>
      <c r="AW755" s="20" t="str">
        <f>HYPERLINK("http://www.bing.com/maps/?lvl=14&amp;sty=h&amp;cp=36.4427~41.7586&amp;sp=point.36.4427_41.7586","Maplink3")</f>
        <v>Maplink3</v>
      </c>
    </row>
    <row r="756" spans="1:49" s="19" customFormat="1" x14ac:dyDescent="0.25">
      <c r="A756" s="9">
        <v>23254</v>
      </c>
      <c r="B756" s="10" t="s">
        <v>20</v>
      </c>
      <c r="C756" s="10" t="s">
        <v>1163</v>
      </c>
      <c r="D756" s="10" t="s">
        <v>1629</v>
      </c>
      <c r="E756" s="10" t="s">
        <v>1630</v>
      </c>
      <c r="F756" s="10">
        <v>36.3021812</v>
      </c>
      <c r="G756" s="10">
        <v>41.863539400000001</v>
      </c>
      <c r="H756" s="11">
        <v>150</v>
      </c>
      <c r="I756" s="11">
        <v>900</v>
      </c>
      <c r="J756" s="11"/>
      <c r="K756" s="11"/>
      <c r="L756" s="11"/>
      <c r="M756" s="11"/>
      <c r="N756" s="11">
        <v>100</v>
      </c>
      <c r="O756" s="11"/>
      <c r="P756" s="11"/>
      <c r="Q756" s="11"/>
      <c r="R756" s="11"/>
      <c r="S756" s="11"/>
      <c r="T756" s="11"/>
      <c r="U756" s="11"/>
      <c r="V756" s="11">
        <v>50</v>
      </c>
      <c r="W756" s="11"/>
      <c r="X756" s="11"/>
      <c r="Y756" s="11"/>
      <c r="Z756" s="11"/>
      <c r="AA756" s="11"/>
      <c r="AB756" s="11"/>
      <c r="AC756" s="11">
        <v>150</v>
      </c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>
        <v>150</v>
      </c>
      <c r="AP756" s="11"/>
      <c r="AQ756" s="11"/>
      <c r="AR756" s="11"/>
      <c r="AS756" s="11"/>
      <c r="AT756" s="11"/>
      <c r="AU756" s="20" t="str">
        <f>HYPERLINK("http://www.openstreetmap.org/?mlat=36.3022&amp;mlon=41.8635&amp;zoom=12#map=12/36.3022/41.8635","Maplink1")</f>
        <v>Maplink1</v>
      </c>
      <c r="AV756" s="20" t="str">
        <f>HYPERLINK("https://www.google.iq/maps/search/+36.3022,41.8635/@36.3022,41.8635,14z?hl=en","Maplink2")</f>
        <v>Maplink2</v>
      </c>
      <c r="AW756" s="20" t="str">
        <f>HYPERLINK("http://www.bing.com/maps/?lvl=14&amp;sty=h&amp;cp=36.3022~41.8635&amp;sp=point.36.3022_41.8635","Maplink3")</f>
        <v>Maplink3</v>
      </c>
    </row>
    <row r="757" spans="1:49" s="19" customFormat="1" x14ac:dyDescent="0.25">
      <c r="A757" s="9">
        <v>27403</v>
      </c>
      <c r="B757" s="10" t="s">
        <v>20</v>
      </c>
      <c r="C757" s="10" t="s">
        <v>1163</v>
      </c>
      <c r="D757" s="10" t="s">
        <v>1166</v>
      </c>
      <c r="E757" s="10" t="s">
        <v>1167</v>
      </c>
      <c r="F757" s="10">
        <v>36.451784000000004</v>
      </c>
      <c r="G757" s="10">
        <v>41.71119736</v>
      </c>
      <c r="H757" s="11">
        <v>163</v>
      </c>
      <c r="I757" s="11">
        <v>978</v>
      </c>
      <c r="J757" s="11"/>
      <c r="K757" s="11"/>
      <c r="L757" s="11"/>
      <c r="M757" s="11"/>
      <c r="N757" s="11">
        <v>158</v>
      </c>
      <c r="O757" s="11"/>
      <c r="P757" s="11"/>
      <c r="Q757" s="11"/>
      <c r="R757" s="11"/>
      <c r="S757" s="11"/>
      <c r="T757" s="11"/>
      <c r="U757" s="11"/>
      <c r="V757" s="11">
        <v>5</v>
      </c>
      <c r="W757" s="11"/>
      <c r="X757" s="11"/>
      <c r="Y757" s="11"/>
      <c r="Z757" s="11"/>
      <c r="AA757" s="11"/>
      <c r="AB757" s="11"/>
      <c r="AC757" s="11">
        <v>163</v>
      </c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>
        <v>163</v>
      </c>
      <c r="AP757" s="11"/>
      <c r="AQ757" s="11"/>
      <c r="AR757" s="11"/>
      <c r="AS757" s="11"/>
      <c r="AT757" s="11"/>
      <c r="AU757" s="20" t="str">
        <f>HYPERLINK("http://www.openstreetmap.org/?mlat=36.4518&amp;mlon=41.7112&amp;zoom=12#map=12/36.4518/41.7112","Maplink1")</f>
        <v>Maplink1</v>
      </c>
      <c r="AV757" s="20" t="str">
        <f>HYPERLINK("https://www.google.iq/maps/search/+36.4518,41.7112/@36.4518,41.7112,14z?hl=en","Maplink2")</f>
        <v>Maplink2</v>
      </c>
      <c r="AW757" s="20" t="str">
        <f>HYPERLINK("http://www.bing.com/maps/?lvl=14&amp;sty=h&amp;cp=36.4518~41.7112&amp;sp=point.36.4518_41.7112","Maplink3")</f>
        <v>Maplink3</v>
      </c>
    </row>
    <row r="758" spans="1:49" s="19" customFormat="1" x14ac:dyDescent="0.25">
      <c r="A758" s="9">
        <v>28415</v>
      </c>
      <c r="B758" s="10" t="s">
        <v>20</v>
      </c>
      <c r="C758" s="10" t="s">
        <v>1163</v>
      </c>
      <c r="D758" s="10" t="s">
        <v>1168</v>
      </c>
      <c r="E758" s="10" t="s">
        <v>1169</v>
      </c>
      <c r="F758" s="10">
        <v>36.416754109999999</v>
      </c>
      <c r="G758" s="10">
        <v>41.913282879999997</v>
      </c>
      <c r="H758" s="11">
        <v>65</v>
      </c>
      <c r="I758" s="11">
        <v>390</v>
      </c>
      <c r="J758" s="11"/>
      <c r="K758" s="11"/>
      <c r="L758" s="11"/>
      <c r="M758" s="11"/>
      <c r="N758" s="11">
        <v>51</v>
      </c>
      <c r="O758" s="11"/>
      <c r="P758" s="11"/>
      <c r="Q758" s="11"/>
      <c r="R758" s="11"/>
      <c r="S758" s="11"/>
      <c r="T758" s="11"/>
      <c r="U758" s="11"/>
      <c r="V758" s="11">
        <v>14</v>
      </c>
      <c r="W758" s="11"/>
      <c r="X758" s="11"/>
      <c r="Y758" s="11"/>
      <c r="Z758" s="11"/>
      <c r="AA758" s="11"/>
      <c r="AB758" s="11"/>
      <c r="AC758" s="11">
        <v>25</v>
      </c>
      <c r="AD758" s="11"/>
      <c r="AE758" s="11"/>
      <c r="AF758" s="11">
        <v>35</v>
      </c>
      <c r="AG758" s="11"/>
      <c r="AH758" s="11"/>
      <c r="AI758" s="11"/>
      <c r="AJ758" s="11"/>
      <c r="AK758" s="11">
        <v>5</v>
      </c>
      <c r="AL758" s="11"/>
      <c r="AM758" s="11"/>
      <c r="AN758" s="11"/>
      <c r="AO758" s="11">
        <v>65</v>
      </c>
      <c r="AP758" s="11"/>
      <c r="AQ758" s="11"/>
      <c r="AR758" s="11"/>
      <c r="AS758" s="11"/>
      <c r="AT758" s="11"/>
      <c r="AU758" s="20" t="str">
        <f>HYPERLINK("http://www.openstreetmap.org/?mlat=36.4168&amp;mlon=41.9133&amp;zoom=12#map=12/36.4168/41.9133","Maplink1")</f>
        <v>Maplink1</v>
      </c>
      <c r="AV758" s="20" t="str">
        <f>HYPERLINK("https://www.google.iq/maps/search/+36.4168,41.9133/@36.4168,41.9133,14z?hl=en","Maplink2")</f>
        <v>Maplink2</v>
      </c>
      <c r="AW758" s="20" t="str">
        <f>HYPERLINK("http://www.bing.com/maps/?lvl=14&amp;sty=h&amp;cp=36.4168~41.9133&amp;sp=point.36.4168_41.9133","Maplink3")</f>
        <v>Maplink3</v>
      </c>
    </row>
    <row r="759" spans="1:49" s="19" customFormat="1" x14ac:dyDescent="0.25">
      <c r="A759" s="9">
        <v>27366</v>
      </c>
      <c r="B759" s="10" t="s">
        <v>20</v>
      </c>
      <c r="C759" s="10" t="s">
        <v>1163</v>
      </c>
      <c r="D759" s="10" t="s">
        <v>1170</v>
      </c>
      <c r="E759" s="10" t="s">
        <v>1171</v>
      </c>
      <c r="F759" s="10">
        <v>36.424752769999998</v>
      </c>
      <c r="G759" s="10">
        <v>41.698482769999998</v>
      </c>
      <c r="H759" s="11">
        <v>107</v>
      </c>
      <c r="I759" s="11">
        <v>642</v>
      </c>
      <c r="J759" s="11"/>
      <c r="K759" s="11"/>
      <c r="L759" s="11"/>
      <c r="M759" s="11"/>
      <c r="N759" s="11">
        <v>107</v>
      </c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>
        <v>107</v>
      </c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>
        <v>107</v>
      </c>
      <c r="AP759" s="11"/>
      <c r="AQ759" s="11"/>
      <c r="AR759" s="11"/>
      <c r="AS759" s="11"/>
      <c r="AT759" s="11"/>
      <c r="AU759" s="20" t="str">
        <f>HYPERLINK("http://www.openstreetmap.org/?mlat=36.4248&amp;mlon=41.6985&amp;zoom=12#map=12/36.4248/41.6985","Maplink1")</f>
        <v>Maplink1</v>
      </c>
      <c r="AV759" s="20" t="str">
        <f>HYPERLINK("https://www.google.iq/maps/search/+36.4248,41.6985/@36.4248,41.6985,14z?hl=en","Maplink2")</f>
        <v>Maplink2</v>
      </c>
      <c r="AW759" s="20" t="str">
        <f>HYPERLINK("http://www.bing.com/maps/?lvl=14&amp;sty=h&amp;cp=36.4248~41.6985&amp;sp=point.36.4248_41.6985","Maplink3")</f>
        <v>Maplink3</v>
      </c>
    </row>
    <row r="760" spans="1:49" s="19" customFormat="1" x14ac:dyDescent="0.25">
      <c r="A760" s="9">
        <v>28416</v>
      </c>
      <c r="B760" s="10" t="s">
        <v>20</v>
      </c>
      <c r="C760" s="10" t="s">
        <v>1163</v>
      </c>
      <c r="D760" s="10" t="s">
        <v>1172</v>
      </c>
      <c r="E760" s="10" t="s">
        <v>1173</v>
      </c>
      <c r="F760" s="10">
        <v>36.4429364728</v>
      </c>
      <c r="G760" s="10">
        <v>41.796168000400002</v>
      </c>
      <c r="H760" s="11">
        <v>8</v>
      </c>
      <c r="I760" s="11">
        <v>48</v>
      </c>
      <c r="J760" s="11"/>
      <c r="K760" s="11"/>
      <c r="L760" s="11"/>
      <c r="M760" s="11"/>
      <c r="N760" s="11">
        <v>8</v>
      </c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>
        <v>8</v>
      </c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>
        <v>8</v>
      </c>
      <c r="AP760" s="11"/>
      <c r="AQ760" s="11"/>
      <c r="AR760" s="11"/>
      <c r="AS760" s="11"/>
      <c r="AT760" s="11"/>
      <c r="AU760" s="20" t="str">
        <f>HYPERLINK("http://www.openstreetmap.org/?mlat=36.4429&amp;mlon=41.7962&amp;zoom=12#map=12/36.4429/41.7962","Maplink1")</f>
        <v>Maplink1</v>
      </c>
      <c r="AV760" s="20" t="str">
        <f>HYPERLINK("https://www.google.iq/maps/search/+36.4429,41.7962/@36.4429,41.7962,14z?hl=en","Maplink2")</f>
        <v>Maplink2</v>
      </c>
      <c r="AW760" s="20" t="str">
        <f>HYPERLINK("http://www.bing.com/maps/?lvl=14&amp;sty=h&amp;cp=36.4429~41.7962&amp;sp=point.36.4429_41.7962","Maplink3")</f>
        <v>Maplink3</v>
      </c>
    </row>
    <row r="761" spans="1:49" s="19" customFormat="1" x14ac:dyDescent="0.25">
      <c r="A761" s="9">
        <v>27360</v>
      </c>
      <c r="B761" s="10" t="s">
        <v>20</v>
      </c>
      <c r="C761" s="10" t="s">
        <v>1163</v>
      </c>
      <c r="D761" s="10" t="s">
        <v>1174</v>
      </c>
      <c r="E761" s="10" t="s">
        <v>1175</v>
      </c>
      <c r="F761" s="10">
        <v>36.371200000000002</v>
      </c>
      <c r="G761" s="10">
        <v>41.490699999999997</v>
      </c>
      <c r="H761" s="11">
        <v>29</v>
      </c>
      <c r="I761" s="11">
        <v>174</v>
      </c>
      <c r="J761" s="11"/>
      <c r="K761" s="11"/>
      <c r="L761" s="11"/>
      <c r="M761" s="11"/>
      <c r="N761" s="11">
        <v>25</v>
      </c>
      <c r="O761" s="11"/>
      <c r="P761" s="11"/>
      <c r="Q761" s="11"/>
      <c r="R761" s="11"/>
      <c r="S761" s="11"/>
      <c r="T761" s="11"/>
      <c r="U761" s="11"/>
      <c r="V761" s="11">
        <v>4</v>
      </c>
      <c r="W761" s="11"/>
      <c r="X761" s="11"/>
      <c r="Y761" s="11"/>
      <c r="Z761" s="11"/>
      <c r="AA761" s="11"/>
      <c r="AB761" s="11"/>
      <c r="AC761" s="11">
        <v>29</v>
      </c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>
        <v>29</v>
      </c>
      <c r="AP761" s="11"/>
      <c r="AQ761" s="11"/>
      <c r="AR761" s="11"/>
      <c r="AS761" s="11"/>
      <c r="AT761" s="11"/>
      <c r="AU761" s="20" t="str">
        <f>HYPERLINK("http://www.openstreetmap.org/?mlat=36.3712&amp;mlon=41.4907&amp;zoom=12#map=12/36.3712/41.4907","Maplink1")</f>
        <v>Maplink1</v>
      </c>
      <c r="AV761" s="20" t="str">
        <f>HYPERLINK("https://www.google.iq/maps/search/+36.3712,41.4907/@36.3712,41.4907,14z?hl=en","Maplink2")</f>
        <v>Maplink2</v>
      </c>
      <c r="AW761" s="20" t="str">
        <f>HYPERLINK("http://www.bing.com/maps/?lvl=14&amp;sty=h&amp;cp=36.3712~41.4907&amp;sp=point.36.3712_41.4907","Maplink3")</f>
        <v>Maplink3</v>
      </c>
    </row>
    <row r="762" spans="1:49" s="19" customFormat="1" x14ac:dyDescent="0.25">
      <c r="A762" s="9">
        <v>27365</v>
      </c>
      <c r="B762" s="10" t="s">
        <v>20</v>
      </c>
      <c r="C762" s="10" t="s">
        <v>1163</v>
      </c>
      <c r="D762" s="10" t="s">
        <v>1176</v>
      </c>
      <c r="E762" s="10" t="s">
        <v>1177</v>
      </c>
      <c r="F762" s="10">
        <v>36.435619520000003</v>
      </c>
      <c r="G762" s="10">
        <v>41.900978129999999</v>
      </c>
      <c r="H762" s="11">
        <v>31</v>
      </c>
      <c r="I762" s="11">
        <v>186</v>
      </c>
      <c r="J762" s="11"/>
      <c r="K762" s="11"/>
      <c r="L762" s="11"/>
      <c r="M762" s="11"/>
      <c r="N762" s="11">
        <v>31</v>
      </c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>
        <v>26</v>
      </c>
      <c r="AD762" s="11"/>
      <c r="AE762" s="11"/>
      <c r="AF762" s="11"/>
      <c r="AG762" s="11"/>
      <c r="AH762" s="11"/>
      <c r="AI762" s="11"/>
      <c r="AJ762" s="11"/>
      <c r="AK762" s="11">
        <v>5</v>
      </c>
      <c r="AL762" s="11"/>
      <c r="AM762" s="11"/>
      <c r="AN762" s="11"/>
      <c r="AO762" s="11">
        <v>31</v>
      </c>
      <c r="AP762" s="11"/>
      <c r="AQ762" s="11"/>
      <c r="AR762" s="11"/>
      <c r="AS762" s="11"/>
      <c r="AT762" s="11"/>
      <c r="AU762" s="20" t="str">
        <f>HYPERLINK("http://www.openstreetmap.org/?mlat=36.4356&amp;mlon=41.901&amp;zoom=12#map=12/36.4356/41.901","Maplink1")</f>
        <v>Maplink1</v>
      </c>
      <c r="AV762" s="20" t="str">
        <f>HYPERLINK("https://www.google.iq/maps/search/+36.4356,41.901/@36.4356,41.901,14z?hl=en","Maplink2")</f>
        <v>Maplink2</v>
      </c>
      <c r="AW762" s="20" t="str">
        <f>HYPERLINK("http://www.bing.com/maps/?lvl=14&amp;sty=h&amp;cp=36.4356~41.901&amp;sp=point.36.4356_41.901","Maplink3")</f>
        <v>Maplink3</v>
      </c>
    </row>
    <row r="763" spans="1:49" s="19" customFormat="1" x14ac:dyDescent="0.25">
      <c r="A763" s="9">
        <v>17720</v>
      </c>
      <c r="B763" s="10" t="s">
        <v>20</v>
      </c>
      <c r="C763" s="10" t="s">
        <v>1163</v>
      </c>
      <c r="D763" s="10" t="s">
        <v>1178</v>
      </c>
      <c r="E763" s="10" t="s">
        <v>1179</v>
      </c>
      <c r="F763" s="10">
        <v>36.556369750000002</v>
      </c>
      <c r="G763" s="10">
        <v>41.765707130000003</v>
      </c>
      <c r="H763" s="11">
        <v>12</v>
      </c>
      <c r="I763" s="11">
        <v>72</v>
      </c>
      <c r="J763" s="11"/>
      <c r="K763" s="11"/>
      <c r="L763" s="11"/>
      <c r="M763" s="11"/>
      <c r="N763" s="11">
        <v>12</v>
      </c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>
        <v>12</v>
      </c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>
        <v>12</v>
      </c>
      <c r="AP763" s="11"/>
      <c r="AQ763" s="11"/>
      <c r="AR763" s="11"/>
      <c r="AS763" s="11"/>
      <c r="AT763" s="11"/>
      <c r="AU763" s="20" t="str">
        <f>HYPERLINK("http://www.openstreetmap.org/?mlat=36.5564&amp;mlon=41.7657&amp;zoom=12#map=12/36.5564/41.7657","Maplink1")</f>
        <v>Maplink1</v>
      </c>
      <c r="AV763" s="20" t="str">
        <f>HYPERLINK("https://www.google.iq/maps/search/+36.5564,41.7657/@36.5564,41.7657,14z?hl=en","Maplink2")</f>
        <v>Maplink2</v>
      </c>
      <c r="AW763" s="20" t="str">
        <f>HYPERLINK("http://www.bing.com/maps/?lvl=14&amp;sty=h&amp;cp=36.5564~41.7657&amp;sp=point.36.5564_41.7657","Maplink3")</f>
        <v>Maplink3</v>
      </c>
    </row>
    <row r="764" spans="1:49" s="19" customFormat="1" x14ac:dyDescent="0.25">
      <c r="A764" s="9">
        <v>27285</v>
      </c>
      <c r="B764" s="10" t="s">
        <v>20</v>
      </c>
      <c r="C764" s="10" t="s">
        <v>1163</v>
      </c>
      <c r="D764" s="10" t="s">
        <v>1962</v>
      </c>
      <c r="E764" s="10" t="s">
        <v>1180</v>
      </c>
      <c r="F764" s="10">
        <v>36.487096229999999</v>
      </c>
      <c r="G764" s="10">
        <v>41.869738030000001</v>
      </c>
      <c r="H764" s="11">
        <v>1775</v>
      </c>
      <c r="I764" s="11">
        <v>10650</v>
      </c>
      <c r="J764" s="11"/>
      <c r="K764" s="11"/>
      <c r="L764" s="11"/>
      <c r="M764" s="11"/>
      <c r="N764" s="11">
        <v>1375</v>
      </c>
      <c r="O764" s="11"/>
      <c r="P764" s="11"/>
      <c r="Q764" s="11"/>
      <c r="R764" s="11"/>
      <c r="S764" s="11"/>
      <c r="T764" s="11"/>
      <c r="U764" s="11"/>
      <c r="V764" s="11">
        <v>400</v>
      </c>
      <c r="W764" s="11"/>
      <c r="X764" s="11"/>
      <c r="Y764" s="11"/>
      <c r="Z764" s="11"/>
      <c r="AA764" s="11"/>
      <c r="AB764" s="11"/>
      <c r="AC764" s="11">
        <v>1775</v>
      </c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>
        <v>1775</v>
      </c>
      <c r="AP764" s="11"/>
      <c r="AQ764" s="11"/>
      <c r="AR764" s="11"/>
      <c r="AS764" s="11"/>
      <c r="AT764" s="11"/>
      <c r="AU764" s="20" t="str">
        <f>HYPERLINK("http://www.openstreetmap.org/?mlat=36.4871&amp;mlon=41.8697&amp;zoom=12#map=12/36.4871/41.8697","Maplink1")</f>
        <v>Maplink1</v>
      </c>
      <c r="AV764" s="20" t="str">
        <f>HYPERLINK("https://www.google.iq/maps/search/+36.4871,41.8697/@36.4871,41.8697,14z?hl=en","Maplink2")</f>
        <v>Maplink2</v>
      </c>
      <c r="AW764" s="20" t="str">
        <f>HYPERLINK("http://www.bing.com/maps/?lvl=14&amp;sty=h&amp;cp=36.4871~41.8697&amp;sp=point.36.4871_41.8697","Maplink3")</f>
        <v>Maplink3</v>
      </c>
    </row>
    <row r="765" spans="1:49" s="19" customFormat="1" x14ac:dyDescent="0.25">
      <c r="A765" s="9">
        <v>27398</v>
      </c>
      <c r="B765" s="10" t="s">
        <v>20</v>
      </c>
      <c r="C765" s="10" t="s">
        <v>1163</v>
      </c>
      <c r="D765" s="10" t="s">
        <v>1181</v>
      </c>
      <c r="E765" s="10" t="s">
        <v>1182</v>
      </c>
      <c r="F765" s="10">
        <v>36.394999540000001</v>
      </c>
      <c r="G765" s="10">
        <v>41.856769030000002</v>
      </c>
      <c r="H765" s="11">
        <v>3</v>
      </c>
      <c r="I765" s="11">
        <v>18</v>
      </c>
      <c r="J765" s="11"/>
      <c r="K765" s="11"/>
      <c r="L765" s="11"/>
      <c r="M765" s="11"/>
      <c r="N765" s="11">
        <v>3</v>
      </c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>
        <v>3</v>
      </c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>
        <v>3</v>
      </c>
      <c r="AP765" s="11"/>
      <c r="AQ765" s="11"/>
      <c r="AR765" s="11"/>
      <c r="AS765" s="11"/>
      <c r="AT765" s="11"/>
      <c r="AU765" s="20" t="str">
        <f>HYPERLINK("http://www.openstreetmap.org/?mlat=36.395&amp;mlon=41.8568&amp;zoom=12#map=12/36.395/41.8568","Maplink1")</f>
        <v>Maplink1</v>
      </c>
      <c r="AV765" s="20" t="str">
        <f>HYPERLINK("https://www.google.iq/maps/search/+36.395,41.8568/@36.395,41.8568,14z?hl=en","Maplink2")</f>
        <v>Maplink2</v>
      </c>
      <c r="AW765" s="20" t="str">
        <f>HYPERLINK("http://www.bing.com/maps/?lvl=14&amp;sty=h&amp;cp=36.395~41.8568&amp;sp=point.36.395_41.8568","Maplink3")</f>
        <v>Maplink3</v>
      </c>
    </row>
    <row r="766" spans="1:49" s="19" customFormat="1" x14ac:dyDescent="0.25">
      <c r="A766" s="9">
        <v>28418</v>
      </c>
      <c r="B766" s="10" t="s">
        <v>20</v>
      </c>
      <c r="C766" s="10" t="s">
        <v>1163</v>
      </c>
      <c r="D766" s="10" t="s">
        <v>1183</v>
      </c>
      <c r="E766" s="10" t="s">
        <v>1184</v>
      </c>
      <c r="F766" s="10">
        <v>36.37538464</v>
      </c>
      <c r="G766" s="10">
        <v>41.766305989999999</v>
      </c>
      <c r="H766" s="11">
        <v>5</v>
      </c>
      <c r="I766" s="11">
        <v>30</v>
      </c>
      <c r="J766" s="11"/>
      <c r="K766" s="11"/>
      <c r="L766" s="11"/>
      <c r="M766" s="11"/>
      <c r="N766" s="11">
        <v>5</v>
      </c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>
        <v>5</v>
      </c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>
        <v>5</v>
      </c>
      <c r="AP766" s="11"/>
      <c r="AQ766" s="11"/>
      <c r="AR766" s="11"/>
      <c r="AS766" s="11"/>
      <c r="AT766" s="11"/>
      <c r="AU766" s="20" t="str">
        <f>HYPERLINK("http://www.openstreetmap.org/?mlat=36.3754&amp;mlon=41.7663&amp;zoom=12#map=12/36.3754/41.7663","Maplink1")</f>
        <v>Maplink1</v>
      </c>
      <c r="AV766" s="20" t="str">
        <f>HYPERLINK("https://www.google.iq/maps/search/+36.3754,41.7663/@36.3754,41.7663,14z?hl=en","Maplink2")</f>
        <v>Maplink2</v>
      </c>
      <c r="AW766" s="20" t="str">
        <f>HYPERLINK("http://www.bing.com/maps/?lvl=14&amp;sty=h&amp;cp=36.3754~41.7663&amp;sp=point.36.3754_41.7663","Maplink3")</f>
        <v>Maplink3</v>
      </c>
    </row>
    <row r="767" spans="1:49" s="19" customFormat="1" x14ac:dyDescent="0.25">
      <c r="A767" s="9">
        <v>27284</v>
      </c>
      <c r="B767" s="10" t="s">
        <v>20</v>
      </c>
      <c r="C767" s="10" t="s">
        <v>1163</v>
      </c>
      <c r="D767" s="10" t="s">
        <v>1185</v>
      </c>
      <c r="E767" s="10" t="s">
        <v>1186</v>
      </c>
      <c r="F767" s="10">
        <v>36.490920780000003</v>
      </c>
      <c r="G767" s="10">
        <v>41.80661594</v>
      </c>
      <c r="H767" s="11">
        <v>824</v>
      </c>
      <c r="I767" s="11">
        <v>4944</v>
      </c>
      <c r="J767" s="11"/>
      <c r="K767" s="11"/>
      <c r="L767" s="11"/>
      <c r="M767" s="11"/>
      <c r="N767" s="11">
        <v>782</v>
      </c>
      <c r="O767" s="11"/>
      <c r="P767" s="11"/>
      <c r="Q767" s="11"/>
      <c r="R767" s="11"/>
      <c r="S767" s="11"/>
      <c r="T767" s="11"/>
      <c r="U767" s="11"/>
      <c r="V767" s="11">
        <v>42</v>
      </c>
      <c r="W767" s="11"/>
      <c r="X767" s="11"/>
      <c r="Y767" s="11"/>
      <c r="Z767" s="11"/>
      <c r="AA767" s="11"/>
      <c r="AB767" s="11"/>
      <c r="AC767" s="11">
        <v>800</v>
      </c>
      <c r="AD767" s="11"/>
      <c r="AE767" s="11"/>
      <c r="AF767" s="11"/>
      <c r="AG767" s="11"/>
      <c r="AH767" s="11"/>
      <c r="AI767" s="11"/>
      <c r="AJ767" s="11"/>
      <c r="AK767" s="11">
        <v>24</v>
      </c>
      <c r="AL767" s="11"/>
      <c r="AM767" s="11"/>
      <c r="AN767" s="11"/>
      <c r="AO767" s="11">
        <v>824</v>
      </c>
      <c r="AP767" s="11"/>
      <c r="AQ767" s="11"/>
      <c r="AR767" s="11"/>
      <c r="AS767" s="11"/>
      <c r="AT767" s="11"/>
      <c r="AU767" s="20" t="str">
        <f>HYPERLINK("http://www.openstreetmap.org/?mlat=36.4909&amp;mlon=41.8066&amp;zoom=12#map=12/36.4909/41.8066","Maplink1")</f>
        <v>Maplink1</v>
      </c>
      <c r="AV767" s="20" t="str">
        <f>HYPERLINK("https://www.google.iq/maps/search/+36.4909,41.8066/@36.4909,41.8066,14z?hl=en","Maplink2")</f>
        <v>Maplink2</v>
      </c>
      <c r="AW767" s="20" t="str">
        <f>HYPERLINK("http://www.bing.com/maps/?lvl=14&amp;sty=h&amp;cp=36.4909~41.8066&amp;sp=point.36.4909_41.8066","Maplink3")</f>
        <v>Maplink3</v>
      </c>
    </row>
    <row r="768" spans="1:49" s="19" customFormat="1" x14ac:dyDescent="0.25">
      <c r="A768" s="9">
        <v>27283</v>
      </c>
      <c r="B768" s="10" t="s">
        <v>20</v>
      </c>
      <c r="C768" s="10" t="s">
        <v>1163</v>
      </c>
      <c r="D768" s="10" t="s">
        <v>1187</v>
      </c>
      <c r="E768" s="10" t="s">
        <v>1188</v>
      </c>
      <c r="F768" s="10">
        <v>36.461001510000003</v>
      </c>
      <c r="G768" s="10">
        <v>41.738542039999999</v>
      </c>
      <c r="H768" s="11">
        <v>450</v>
      </c>
      <c r="I768" s="11">
        <v>2700</v>
      </c>
      <c r="J768" s="11"/>
      <c r="K768" s="11"/>
      <c r="L768" s="11"/>
      <c r="M768" s="11"/>
      <c r="N768" s="11">
        <v>325</v>
      </c>
      <c r="O768" s="11"/>
      <c r="P768" s="11"/>
      <c r="Q768" s="11"/>
      <c r="R768" s="11"/>
      <c r="S768" s="11"/>
      <c r="T768" s="11"/>
      <c r="U768" s="11"/>
      <c r="V768" s="11">
        <v>125</v>
      </c>
      <c r="W768" s="11"/>
      <c r="X768" s="11"/>
      <c r="Y768" s="11"/>
      <c r="Z768" s="11"/>
      <c r="AA768" s="11"/>
      <c r="AB768" s="11"/>
      <c r="AC768" s="11">
        <v>450</v>
      </c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>
        <v>450</v>
      </c>
      <c r="AP768" s="11"/>
      <c r="AQ768" s="11"/>
      <c r="AR768" s="11"/>
      <c r="AS768" s="11"/>
      <c r="AT768" s="11"/>
      <c r="AU768" s="20" t="str">
        <f>HYPERLINK("http://www.openstreetmap.org/?mlat=36.461&amp;mlon=41.7385&amp;zoom=12#map=12/36.461/41.7385","Maplink1")</f>
        <v>Maplink1</v>
      </c>
      <c r="AV768" s="20" t="str">
        <f>HYPERLINK("https://www.google.iq/maps/search/+36.461,41.7385/@36.461,41.7385,14z?hl=en","Maplink2")</f>
        <v>Maplink2</v>
      </c>
      <c r="AW768" s="20" t="str">
        <f>HYPERLINK("http://www.bing.com/maps/?lvl=14&amp;sty=h&amp;cp=36.461~41.7385&amp;sp=point.36.461_41.7385","Maplink3")</f>
        <v>Maplink3</v>
      </c>
    </row>
    <row r="769" spans="1:49" s="19" customFormat="1" x14ac:dyDescent="0.25">
      <c r="A769" s="9">
        <v>28417</v>
      </c>
      <c r="B769" s="10" t="s">
        <v>20</v>
      </c>
      <c r="C769" s="10" t="s">
        <v>1163</v>
      </c>
      <c r="D769" s="10" t="s">
        <v>1189</v>
      </c>
      <c r="E769" s="10" t="s">
        <v>1190</v>
      </c>
      <c r="F769" s="10">
        <v>36.420558440000001</v>
      </c>
      <c r="G769" s="10">
        <v>42.070781199999999</v>
      </c>
      <c r="H769" s="11">
        <v>16</v>
      </c>
      <c r="I769" s="11">
        <v>96</v>
      </c>
      <c r="J769" s="11"/>
      <c r="K769" s="11"/>
      <c r="L769" s="11"/>
      <c r="M769" s="11"/>
      <c r="N769" s="11">
        <v>16</v>
      </c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>
        <v>16</v>
      </c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>
        <v>16</v>
      </c>
      <c r="AP769" s="11"/>
      <c r="AQ769" s="11"/>
      <c r="AR769" s="11"/>
      <c r="AS769" s="11"/>
      <c r="AT769" s="11"/>
      <c r="AU769" s="20" t="str">
        <f>HYPERLINK("http://www.openstreetmap.org/?mlat=36.4206&amp;mlon=42.0708&amp;zoom=12#map=12/36.4206/42.0708","Maplink1")</f>
        <v>Maplink1</v>
      </c>
      <c r="AV769" s="20" t="str">
        <f>HYPERLINK("https://www.google.iq/maps/search/+36.4206,42.0708/@36.4206,42.0708,14z?hl=en","Maplink2")</f>
        <v>Maplink2</v>
      </c>
      <c r="AW769" s="20" t="str">
        <f>HYPERLINK("http://www.bing.com/maps/?lvl=14&amp;sty=h&amp;cp=36.4206~42.0708&amp;sp=point.36.4206_42.0708","Maplink3")</f>
        <v>Maplink3</v>
      </c>
    </row>
    <row r="770" spans="1:49" s="19" customFormat="1" x14ac:dyDescent="0.25">
      <c r="A770" s="9">
        <v>28447</v>
      </c>
      <c r="B770" s="10" t="s">
        <v>20</v>
      </c>
      <c r="C770" s="10" t="s">
        <v>1163</v>
      </c>
      <c r="D770" s="10" t="s">
        <v>1191</v>
      </c>
      <c r="E770" s="10" t="s">
        <v>1192</v>
      </c>
      <c r="F770" s="10">
        <v>36.458525739999999</v>
      </c>
      <c r="G770" s="10">
        <v>41.862916370000001</v>
      </c>
      <c r="H770" s="11">
        <v>80</v>
      </c>
      <c r="I770" s="11">
        <v>480</v>
      </c>
      <c r="J770" s="11"/>
      <c r="K770" s="11"/>
      <c r="L770" s="11"/>
      <c r="M770" s="11"/>
      <c r="N770" s="11">
        <v>80</v>
      </c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>
        <v>80</v>
      </c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>
        <v>80</v>
      </c>
      <c r="AP770" s="11"/>
      <c r="AQ770" s="11"/>
      <c r="AR770" s="11"/>
      <c r="AS770" s="11"/>
      <c r="AT770" s="11"/>
      <c r="AU770" s="20" t="str">
        <f>HYPERLINK("http://www.openstreetmap.org/?mlat=36.4585&amp;mlon=41.8629&amp;zoom=12#map=12/36.4585/41.8629","Maplink1")</f>
        <v>Maplink1</v>
      </c>
      <c r="AV770" s="20" t="str">
        <f>HYPERLINK("https://www.google.iq/maps/search/+36.4585,41.8629/@36.4585,41.8629,14z?hl=en","Maplink2")</f>
        <v>Maplink2</v>
      </c>
      <c r="AW770" s="20" t="str">
        <f>HYPERLINK("http://www.bing.com/maps/?lvl=14&amp;sty=h&amp;cp=36.4585~41.8629&amp;sp=point.36.4585_41.8629","Maplink3")</f>
        <v>Maplink3</v>
      </c>
    </row>
    <row r="771" spans="1:49" s="19" customFormat="1" x14ac:dyDescent="0.25">
      <c r="A771" s="9">
        <v>18048</v>
      </c>
      <c r="B771" s="10" t="s">
        <v>20</v>
      </c>
      <c r="C771" s="10" t="s">
        <v>1163</v>
      </c>
      <c r="D771" s="10" t="s">
        <v>1193</v>
      </c>
      <c r="E771" s="10" t="s">
        <v>1194</v>
      </c>
      <c r="F771" s="10">
        <v>36.514294509999999</v>
      </c>
      <c r="G771" s="10">
        <v>41.96182108</v>
      </c>
      <c r="H771" s="11">
        <v>436</v>
      </c>
      <c r="I771" s="11">
        <v>2616</v>
      </c>
      <c r="J771" s="11"/>
      <c r="K771" s="11"/>
      <c r="L771" s="11"/>
      <c r="M771" s="11"/>
      <c r="N771" s="11">
        <v>396</v>
      </c>
      <c r="O771" s="11"/>
      <c r="P771" s="11"/>
      <c r="Q771" s="11"/>
      <c r="R771" s="11"/>
      <c r="S771" s="11"/>
      <c r="T771" s="11"/>
      <c r="U771" s="11"/>
      <c r="V771" s="11">
        <v>40</v>
      </c>
      <c r="W771" s="11"/>
      <c r="X771" s="11"/>
      <c r="Y771" s="11"/>
      <c r="Z771" s="11"/>
      <c r="AA771" s="11"/>
      <c r="AB771" s="11"/>
      <c r="AC771" s="11">
        <v>436</v>
      </c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>
        <v>436</v>
      </c>
      <c r="AP771" s="11"/>
      <c r="AQ771" s="11"/>
      <c r="AR771" s="11"/>
      <c r="AS771" s="11"/>
      <c r="AT771" s="11"/>
      <c r="AU771" s="20" t="str">
        <f>HYPERLINK("http://www.openstreetmap.org/?mlat=36.5143&amp;mlon=41.9618&amp;zoom=12#map=12/36.5143/41.9618","Maplink1")</f>
        <v>Maplink1</v>
      </c>
      <c r="AV771" s="20" t="str">
        <f>HYPERLINK("https://www.google.iq/maps/search/+36.5143,41.9618/@36.5143,41.9618,14z?hl=en","Maplink2")</f>
        <v>Maplink2</v>
      </c>
      <c r="AW771" s="20" t="str">
        <f>HYPERLINK("http://www.bing.com/maps/?lvl=14&amp;sty=h&amp;cp=36.5143~41.9618&amp;sp=point.36.5143_41.9618","Maplink3")</f>
        <v>Maplink3</v>
      </c>
    </row>
    <row r="772" spans="1:49" s="19" customFormat="1" x14ac:dyDescent="0.25">
      <c r="A772" s="9">
        <v>27401</v>
      </c>
      <c r="B772" s="10" t="s">
        <v>20</v>
      </c>
      <c r="C772" s="10" t="s">
        <v>1163</v>
      </c>
      <c r="D772" s="10" t="s">
        <v>1195</v>
      </c>
      <c r="E772" s="10" t="s">
        <v>1196</v>
      </c>
      <c r="F772" s="10">
        <v>36.434344850000002</v>
      </c>
      <c r="G772" s="10">
        <v>41.586858409999998</v>
      </c>
      <c r="H772" s="11">
        <v>40</v>
      </c>
      <c r="I772" s="11">
        <v>240</v>
      </c>
      <c r="J772" s="11"/>
      <c r="K772" s="11"/>
      <c r="L772" s="11"/>
      <c r="M772" s="11"/>
      <c r="N772" s="11">
        <v>40</v>
      </c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>
        <v>40</v>
      </c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>
        <v>40</v>
      </c>
      <c r="AP772" s="11"/>
      <c r="AQ772" s="11"/>
      <c r="AR772" s="11"/>
      <c r="AS772" s="11"/>
      <c r="AT772" s="11"/>
      <c r="AU772" s="20" t="str">
        <f>HYPERLINK("http://www.openstreetmap.org/?mlat=36.4343&amp;mlon=41.5869&amp;zoom=12#map=12/36.4343/41.5869","Maplink1")</f>
        <v>Maplink1</v>
      </c>
      <c r="AV772" s="20" t="str">
        <f>HYPERLINK("https://www.google.iq/maps/search/+36.4343,41.5869/@36.4343,41.5869,14z?hl=en","Maplink2")</f>
        <v>Maplink2</v>
      </c>
      <c r="AW772" s="20" t="str">
        <f>HYPERLINK("http://www.bing.com/maps/?lvl=14&amp;sty=h&amp;cp=36.4343~41.5869&amp;sp=point.36.4343_41.5869","Maplink3")</f>
        <v>Maplink3</v>
      </c>
    </row>
    <row r="773" spans="1:49" s="19" customFormat="1" x14ac:dyDescent="0.25">
      <c r="A773" s="9">
        <v>33119</v>
      </c>
      <c r="B773" s="10" t="s">
        <v>20</v>
      </c>
      <c r="C773" s="10" t="s">
        <v>1163</v>
      </c>
      <c r="D773" s="10" t="s">
        <v>1631</v>
      </c>
      <c r="E773" s="10" t="s">
        <v>1632</v>
      </c>
      <c r="F773" s="10">
        <v>36.470509999999997</v>
      </c>
      <c r="G773" s="10">
        <v>42.103949999999998</v>
      </c>
      <c r="H773" s="11">
        <v>98</v>
      </c>
      <c r="I773" s="11">
        <v>588</v>
      </c>
      <c r="J773" s="11"/>
      <c r="K773" s="11"/>
      <c r="L773" s="11"/>
      <c r="M773" s="11"/>
      <c r="N773" s="11">
        <v>75</v>
      </c>
      <c r="O773" s="11"/>
      <c r="P773" s="11"/>
      <c r="Q773" s="11"/>
      <c r="R773" s="11"/>
      <c r="S773" s="11"/>
      <c r="T773" s="11"/>
      <c r="U773" s="11"/>
      <c r="V773" s="11">
        <v>23</v>
      </c>
      <c r="W773" s="11"/>
      <c r="X773" s="11"/>
      <c r="Y773" s="11"/>
      <c r="Z773" s="11"/>
      <c r="AA773" s="11"/>
      <c r="AB773" s="11"/>
      <c r="AC773" s="11">
        <v>98</v>
      </c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>
        <v>98</v>
      </c>
      <c r="AP773" s="11"/>
      <c r="AQ773" s="11"/>
      <c r="AR773" s="11"/>
      <c r="AS773" s="11"/>
      <c r="AT773" s="11"/>
      <c r="AU773" s="20" t="str">
        <f>HYPERLINK("http://www.openstreetmap.org/?mlat=36.4705&amp;mlon=42.1039&amp;zoom=12#map=12/36.4705/42.1039","Maplink1")</f>
        <v>Maplink1</v>
      </c>
      <c r="AV773" s="20" t="str">
        <f>HYPERLINK("https://www.google.iq/maps/search/+36.4705,42.1039/@36.4705,42.1039,14z?hl=en","Maplink2")</f>
        <v>Maplink2</v>
      </c>
      <c r="AW773" s="20" t="str">
        <f>HYPERLINK("http://www.bing.com/maps/?lvl=14&amp;sty=h&amp;cp=36.4705~42.1039&amp;sp=point.36.4705_42.1039","Maplink3")</f>
        <v>Maplink3</v>
      </c>
    </row>
    <row r="774" spans="1:49" s="19" customFormat="1" x14ac:dyDescent="0.25">
      <c r="A774" s="9">
        <v>22490</v>
      </c>
      <c r="B774" s="10" t="s">
        <v>20</v>
      </c>
      <c r="C774" s="10" t="s">
        <v>1163</v>
      </c>
      <c r="D774" s="10" t="s">
        <v>1197</v>
      </c>
      <c r="E774" s="10" t="s">
        <v>1198</v>
      </c>
      <c r="F774" s="10">
        <v>36.320941619999999</v>
      </c>
      <c r="G774" s="10">
        <v>41.850862540000001</v>
      </c>
      <c r="H774" s="11">
        <v>82</v>
      </c>
      <c r="I774" s="11">
        <v>492</v>
      </c>
      <c r="J774" s="11"/>
      <c r="K774" s="11"/>
      <c r="L774" s="11"/>
      <c r="M774" s="11"/>
      <c r="N774" s="11">
        <v>67</v>
      </c>
      <c r="O774" s="11"/>
      <c r="P774" s="11"/>
      <c r="Q774" s="11"/>
      <c r="R774" s="11"/>
      <c r="S774" s="11"/>
      <c r="T774" s="11"/>
      <c r="U774" s="11"/>
      <c r="V774" s="11">
        <v>15</v>
      </c>
      <c r="W774" s="11"/>
      <c r="X774" s="11"/>
      <c r="Y774" s="11"/>
      <c r="Z774" s="11"/>
      <c r="AA774" s="11"/>
      <c r="AB774" s="11"/>
      <c r="AC774" s="11">
        <v>40</v>
      </c>
      <c r="AD774" s="11">
        <v>42</v>
      </c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>
        <v>82</v>
      </c>
      <c r="AP774" s="11"/>
      <c r="AQ774" s="11"/>
      <c r="AR774" s="11"/>
      <c r="AS774" s="11"/>
      <c r="AT774" s="11"/>
      <c r="AU774" s="20" t="str">
        <f>HYPERLINK("http://www.openstreetmap.org/?mlat=36.3209&amp;mlon=41.8509&amp;zoom=12#map=12/36.3209/41.8509","Maplink1")</f>
        <v>Maplink1</v>
      </c>
      <c r="AV774" s="20" t="str">
        <f>HYPERLINK("https://www.google.iq/maps/search/+36.3209,41.8509/@36.3209,41.8509,14z?hl=en","Maplink2")</f>
        <v>Maplink2</v>
      </c>
      <c r="AW774" s="20" t="str">
        <f>HYPERLINK("http://www.bing.com/maps/?lvl=14&amp;sty=h&amp;cp=36.3209~41.8509&amp;sp=point.36.3209_41.8509","Maplink3")</f>
        <v>Maplink3</v>
      </c>
    </row>
    <row r="775" spans="1:49" s="19" customFormat="1" x14ac:dyDescent="0.25">
      <c r="A775" s="9">
        <v>23274</v>
      </c>
      <c r="B775" s="10" t="s">
        <v>20</v>
      </c>
      <c r="C775" s="10" t="s">
        <v>1163</v>
      </c>
      <c r="D775" s="10" t="s">
        <v>1199</v>
      </c>
      <c r="E775" s="10" t="s">
        <v>1200</v>
      </c>
      <c r="F775" s="10">
        <v>36.325020000000002</v>
      </c>
      <c r="G775" s="10">
        <v>41.873069999999998</v>
      </c>
      <c r="H775" s="11">
        <v>89</v>
      </c>
      <c r="I775" s="11">
        <v>534</v>
      </c>
      <c r="J775" s="11"/>
      <c r="K775" s="11"/>
      <c r="L775" s="11"/>
      <c r="M775" s="11"/>
      <c r="N775" s="11">
        <v>59</v>
      </c>
      <c r="O775" s="11"/>
      <c r="P775" s="11"/>
      <c r="Q775" s="11"/>
      <c r="R775" s="11"/>
      <c r="S775" s="11"/>
      <c r="T775" s="11"/>
      <c r="U775" s="11"/>
      <c r="V775" s="11">
        <v>30</v>
      </c>
      <c r="W775" s="11"/>
      <c r="X775" s="11"/>
      <c r="Y775" s="11"/>
      <c r="Z775" s="11"/>
      <c r="AA775" s="11"/>
      <c r="AB775" s="11"/>
      <c r="AC775" s="11">
        <v>75</v>
      </c>
      <c r="AD775" s="11">
        <v>14</v>
      </c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>
        <v>89</v>
      </c>
      <c r="AP775" s="11"/>
      <c r="AQ775" s="11"/>
      <c r="AR775" s="11"/>
      <c r="AS775" s="11"/>
      <c r="AT775" s="11"/>
      <c r="AU775" s="20" t="str">
        <f>HYPERLINK("http://www.openstreetmap.org/?mlat=36.325&amp;mlon=41.8731&amp;zoom=12#map=12/36.325/41.8731","Maplink1")</f>
        <v>Maplink1</v>
      </c>
      <c r="AV775" s="20" t="str">
        <f>HYPERLINK("https://www.google.iq/maps/search/+36.325,41.8731/@36.325,41.8731,14z?hl=en","Maplink2")</f>
        <v>Maplink2</v>
      </c>
      <c r="AW775" s="20" t="str">
        <f>HYPERLINK("http://www.bing.com/maps/?lvl=14&amp;sty=h&amp;cp=36.325~41.8731&amp;sp=point.36.325_41.8731","Maplink3")</f>
        <v>Maplink3</v>
      </c>
    </row>
    <row r="776" spans="1:49" s="19" customFormat="1" x14ac:dyDescent="0.25">
      <c r="A776" s="9">
        <v>23273</v>
      </c>
      <c r="B776" s="10" t="s">
        <v>20</v>
      </c>
      <c r="C776" s="10" t="s">
        <v>1163</v>
      </c>
      <c r="D776" s="10" t="s">
        <v>1201</v>
      </c>
      <c r="E776" s="10" t="s">
        <v>172</v>
      </c>
      <c r="F776" s="10">
        <v>36.318109999999997</v>
      </c>
      <c r="G776" s="10">
        <v>41.864339999999999</v>
      </c>
      <c r="H776" s="11">
        <v>190</v>
      </c>
      <c r="I776" s="11">
        <v>1140</v>
      </c>
      <c r="J776" s="11"/>
      <c r="K776" s="11"/>
      <c r="L776" s="11"/>
      <c r="M776" s="11"/>
      <c r="N776" s="11">
        <v>146</v>
      </c>
      <c r="O776" s="11"/>
      <c r="P776" s="11"/>
      <c r="Q776" s="11"/>
      <c r="R776" s="11"/>
      <c r="S776" s="11"/>
      <c r="T776" s="11"/>
      <c r="U776" s="11"/>
      <c r="V776" s="11">
        <v>44</v>
      </c>
      <c r="W776" s="11"/>
      <c r="X776" s="11"/>
      <c r="Y776" s="11"/>
      <c r="Z776" s="11"/>
      <c r="AA776" s="11"/>
      <c r="AB776" s="11"/>
      <c r="AC776" s="11">
        <v>155</v>
      </c>
      <c r="AD776" s="11">
        <v>35</v>
      </c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>
        <v>190</v>
      </c>
      <c r="AP776" s="11"/>
      <c r="AQ776" s="11"/>
      <c r="AR776" s="11"/>
      <c r="AS776" s="11"/>
      <c r="AT776" s="11"/>
      <c r="AU776" s="20" t="str">
        <f>HYPERLINK("http://www.openstreetmap.org/?mlat=36.3181&amp;mlon=41.8643&amp;zoom=12#map=12/36.3181/41.8643","Maplink1")</f>
        <v>Maplink1</v>
      </c>
      <c r="AV776" s="20" t="str">
        <f>HYPERLINK("https://www.google.iq/maps/search/+36.3181,41.8643/@36.3181,41.8643,14z?hl=en","Maplink2")</f>
        <v>Maplink2</v>
      </c>
      <c r="AW776" s="20" t="str">
        <f>HYPERLINK("http://www.bing.com/maps/?lvl=14&amp;sty=h&amp;cp=36.3181~41.8643&amp;sp=point.36.3181_41.8643","Maplink3")</f>
        <v>Maplink3</v>
      </c>
    </row>
    <row r="777" spans="1:49" s="19" customFormat="1" x14ac:dyDescent="0.25">
      <c r="A777" s="9">
        <v>22487</v>
      </c>
      <c r="B777" s="10" t="s">
        <v>20</v>
      </c>
      <c r="C777" s="10" t="s">
        <v>1163</v>
      </c>
      <c r="D777" s="10" t="s">
        <v>1202</v>
      </c>
      <c r="E777" s="10" t="s">
        <v>1203</v>
      </c>
      <c r="F777" s="10">
        <v>36.31653</v>
      </c>
      <c r="G777" s="10">
        <v>41.855130000000003</v>
      </c>
      <c r="H777" s="11">
        <v>120</v>
      </c>
      <c r="I777" s="11">
        <v>720</v>
      </c>
      <c r="J777" s="11"/>
      <c r="K777" s="11"/>
      <c r="L777" s="11"/>
      <c r="M777" s="11"/>
      <c r="N777" s="11">
        <v>90</v>
      </c>
      <c r="O777" s="11"/>
      <c r="P777" s="11"/>
      <c r="Q777" s="11"/>
      <c r="R777" s="11"/>
      <c r="S777" s="11"/>
      <c r="T777" s="11"/>
      <c r="U777" s="11"/>
      <c r="V777" s="11">
        <v>30</v>
      </c>
      <c r="W777" s="11"/>
      <c r="X777" s="11"/>
      <c r="Y777" s="11"/>
      <c r="Z777" s="11"/>
      <c r="AA777" s="11"/>
      <c r="AB777" s="11"/>
      <c r="AC777" s="11">
        <v>60</v>
      </c>
      <c r="AD777" s="11">
        <v>60</v>
      </c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>
        <v>120</v>
      </c>
      <c r="AP777" s="11"/>
      <c r="AQ777" s="11"/>
      <c r="AR777" s="11"/>
      <c r="AS777" s="11"/>
      <c r="AT777" s="11"/>
      <c r="AU777" s="20" t="str">
        <f>HYPERLINK("http://www.openstreetmap.org/?mlat=36.3165&amp;mlon=41.8551&amp;zoom=12#map=12/36.3165/41.8551","Maplink1")</f>
        <v>Maplink1</v>
      </c>
      <c r="AV777" s="20" t="str">
        <f>HYPERLINK("https://www.google.iq/maps/search/+36.3165,41.8551/@36.3165,41.8551,14z?hl=en","Maplink2")</f>
        <v>Maplink2</v>
      </c>
      <c r="AW777" s="20" t="str">
        <f>HYPERLINK("http://www.bing.com/maps/?lvl=14&amp;sty=h&amp;cp=36.3165~41.8551&amp;sp=point.36.3165_41.8551","Maplink3")</f>
        <v>Maplink3</v>
      </c>
    </row>
    <row r="778" spans="1:49" s="19" customFormat="1" x14ac:dyDescent="0.25">
      <c r="A778" s="9">
        <v>22484</v>
      </c>
      <c r="B778" s="10" t="s">
        <v>20</v>
      </c>
      <c r="C778" s="10" t="s">
        <v>1163</v>
      </c>
      <c r="D778" s="10" t="s">
        <v>1204</v>
      </c>
      <c r="E778" s="10" t="s">
        <v>1205</v>
      </c>
      <c r="F778" s="10">
        <v>36.332979999999999</v>
      </c>
      <c r="G778" s="10">
        <v>41.8568</v>
      </c>
      <c r="H778" s="11">
        <v>73</v>
      </c>
      <c r="I778" s="11">
        <v>438</v>
      </c>
      <c r="J778" s="11"/>
      <c r="K778" s="11"/>
      <c r="L778" s="11"/>
      <c r="M778" s="11"/>
      <c r="N778" s="11">
        <v>62</v>
      </c>
      <c r="O778" s="11"/>
      <c r="P778" s="11"/>
      <c r="Q778" s="11"/>
      <c r="R778" s="11"/>
      <c r="S778" s="11"/>
      <c r="T778" s="11"/>
      <c r="U778" s="11"/>
      <c r="V778" s="11">
        <v>11</v>
      </c>
      <c r="W778" s="11"/>
      <c r="X778" s="11"/>
      <c r="Y778" s="11"/>
      <c r="Z778" s="11"/>
      <c r="AA778" s="11"/>
      <c r="AB778" s="11"/>
      <c r="AC778" s="11">
        <v>51</v>
      </c>
      <c r="AD778" s="11">
        <v>22</v>
      </c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>
        <v>73</v>
      </c>
      <c r="AP778" s="11"/>
      <c r="AQ778" s="11"/>
      <c r="AR778" s="11"/>
      <c r="AS778" s="11"/>
      <c r="AT778" s="11"/>
      <c r="AU778" s="20" t="str">
        <f>HYPERLINK("http://www.openstreetmap.org/?mlat=36.333&amp;mlon=41.8568&amp;zoom=12#map=12/36.333/41.8568","Maplink1")</f>
        <v>Maplink1</v>
      </c>
      <c r="AV778" s="20" t="str">
        <f>HYPERLINK("https://www.google.iq/maps/search/+36.333,41.8568/@36.333,41.8568,14z?hl=en","Maplink2")</f>
        <v>Maplink2</v>
      </c>
      <c r="AW778" s="20" t="str">
        <f>HYPERLINK("http://www.bing.com/maps/?lvl=14&amp;sty=h&amp;cp=36.333~41.8568&amp;sp=point.36.333_41.8568","Maplink3")</f>
        <v>Maplink3</v>
      </c>
    </row>
    <row r="779" spans="1:49" s="19" customFormat="1" x14ac:dyDescent="0.25">
      <c r="A779" s="9">
        <v>29676</v>
      </c>
      <c r="B779" s="10" t="s">
        <v>20</v>
      </c>
      <c r="C779" s="10" t="s">
        <v>1163</v>
      </c>
      <c r="D779" s="10" t="s">
        <v>1206</v>
      </c>
      <c r="E779" s="10" t="s">
        <v>1207</v>
      </c>
      <c r="F779" s="10">
        <v>36.321826960000003</v>
      </c>
      <c r="G779" s="10">
        <v>41.874680419999997</v>
      </c>
      <c r="H779" s="11">
        <v>175</v>
      </c>
      <c r="I779" s="11">
        <v>1050</v>
      </c>
      <c r="J779" s="11"/>
      <c r="K779" s="11"/>
      <c r="L779" s="11"/>
      <c r="M779" s="11"/>
      <c r="N779" s="11">
        <v>128</v>
      </c>
      <c r="O779" s="11"/>
      <c r="P779" s="11"/>
      <c r="Q779" s="11"/>
      <c r="R779" s="11"/>
      <c r="S779" s="11"/>
      <c r="T779" s="11"/>
      <c r="U779" s="11"/>
      <c r="V779" s="11">
        <v>47</v>
      </c>
      <c r="W779" s="11"/>
      <c r="X779" s="11"/>
      <c r="Y779" s="11"/>
      <c r="Z779" s="11"/>
      <c r="AA779" s="11"/>
      <c r="AB779" s="11"/>
      <c r="AC779" s="11">
        <v>130</v>
      </c>
      <c r="AD779" s="11">
        <v>45</v>
      </c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>
        <v>175</v>
      </c>
      <c r="AP779" s="11"/>
      <c r="AQ779" s="11"/>
      <c r="AR779" s="11"/>
      <c r="AS779" s="11"/>
      <c r="AT779" s="11"/>
      <c r="AU779" s="20" t="str">
        <f>HYPERLINK("http://www.openstreetmap.org/?mlat=36.3218&amp;mlon=41.8747&amp;zoom=12#map=12/36.3218/41.8747","Maplink1")</f>
        <v>Maplink1</v>
      </c>
      <c r="AV779" s="20" t="str">
        <f>HYPERLINK("https://www.google.iq/maps/search/+36.3218,41.8747/@36.3218,41.8747,14z?hl=en","Maplink2")</f>
        <v>Maplink2</v>
      </c>
      <c r="AW779" s="20" t="str">
        <f>HYPERLINK("http://www.bing.com/maps/?lvl=14&amp;sty=h&amp;cp=36.3218~41.8747&amp;sp=point.36.3218_41.8747","Maplink3")</f>
        <v>Maplink3</v>
      </c>
    </row>
    <row r="780" spans="1:49" s="19" customFormat="1" x14ac:dyDescent="0.25">
      <c r="A780" s="9">
        <v>27288</v>
      </c>
      <c r="B780" s="10" t="s">
        <v>20</v>
      </c>
      <c r="C780" s="10" t="s">
        <v>1163</v>
      </c>
      <c r="D780" s="10" t="s">
        <v>1208</v>
      </c>
      <c r="E780" s="10" t="s">
        <v>1209</v>
      </c>
      <c r="F780" s="10">
        <v>36.376993800000001</v>
      </c>
      <c r="G780" s="10">
        <v>41.68756913</v>
      </c>
      <c r="H780" s="11">
        <v>123</v>
      </c>
      <c r="I780" s="11">
        <v>738</v>
      </c>
      <c r="J780" s="11"/>
      <c r="K780" s="11"/>
      <c r="L780" s="11"/>
      <c r="M780" s="11"/>
      <c r="N780" s="11">
        <v>122</v>
      </c>
      <c r="O780" s="11"/>
      <c r="P780" s="11"/>
      <c r="Q780" s="11"/>
      <c r="R780" s="11"/>
      <c r="S780" s="11"/>
      <c r="T780" s="11"/>
      <c r="U780" s="11"/>
      <c r="V780" s="11">
        <v>1</v>
      </c>
      <c r="W780" s="11"/>
      <c r="X780" s="11"/>
      <c r="Y780" s="11"/>
      <c r="Z780" s="11"/>
      <c r="AA780" s="11"/>
      <c r="AB780" s="11"/>
      <c r="AC780" s="11">
        <v>123</v>
      </c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>
        <v>123</v>
      </c>
      <c r="AP780" s="11"/>
      <c r="AQ780" s="11"/>
      <c r="AR780" s="11"/>
      <c r="AS780" s="11"/>
      <c r="AT780" s="11"/>
      <c r="AU780" s="20" t="str">
        <f>HYPERLINK("http://www.openstreetmap.org/?mlat=36.377&amp;mlon=41.6876&amp;zoom=12#map=12/36.377/41.6876","Maplink1")</f>
        <v>Maplink1</v>
      </c>
      <c r="AV780" s="20" t="str">
        <f>HYPERLINK("https://www.google.iq/maps/search/+36.377,41.6876/@36.377,41.6876,14z?hl=en","Maplink2")</f>
        <v>Maplink2</v>
      </c>
      <c r="AW780" s="20" t="str">
        <f>HYPERLINK("http://www.bing.com/maps/?lvl=14&amp;sty=h&amp;cp=36.377~41.6876&amp;sp=point.36.377_41.6876","Maplink3")</f>
        <v>Maplink3</v>
      </c>
    </row>
    <row r="781" spans="1:49" s="19" customFormat="1" x14ac:dyDescent="0.25">
      <c r="A781" s="9">
        <v>17845</v>
      </c>
      <c r="B781" s="10" t="s">
        <v>20</v>
      </c>
      <c r="C781" s="10" t="s">
        <v>1163</v>
      </c>
      <c r="D781" s="10" t="s">
        <v>1210</v>
      </c>
      <c r="E781" s="10" t="s">
        <v>1211</v>
      </c>
      <c r="F781" s="10">
        <v>36.46575215</v>
      </c>
      <c r="G781" s="10">
        <v>41.627610390000001</v>
      </c>
      <c r="H781" s="11">
        <v>208</v>
      </c>
      <c r="I781" s="11">
        <v>1248</v>
      </c>
      <c r="J781" s="11"/>
      <c r="K781" s="11"/>
      <c r="L781" s="11"/>
      <c r="M781" s="11"/>
      <c r="N781" s="11">
        <v>100</v>
      </c>
      <c r="O781" s="11"/>
      <c r="P781" s="11"/>
      <c r="Q781" s="11"/>
      <c r="R781" s="11"/>
      <c r="S781" s="11"/>
      <c r="T781" s="11"/>
      <c r="U781" s="11"/>
      <c r="V781" s="11">
        <v>108</v>
      </c>
      <c r="W781" s="11"/>
      <c r="X781" s="11"/>
      <c r="Y781" s="11"/>
      <c r="Z781" s="11"/>
      <c r="AA781" s="11"/>
      <c r="AB781" s="11"/>
      <c r="AC781" s="11">
        <v>208</v>
      </c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>
        <v>208</v>
      </c>
      <c r="AP781" s="11"/>
      <c r="AQ781" s="11"/>
      <c r="AR781" s="11"/>
      <c r="AS781" s="11"/>
      <c r="AT781" s="11"/>
      <c r="AU781" s="20" t="str">
        <f>HYPERLINK("http://www.openstreetmap.org/?mlat=36.4658&amp;mlon=41.6276&amp;zoom=12#map=12/36.4658/41.6276","Maplink1")</f>
        <v>Maplink1</v>
      </c>
      <c r="AV781" s="20" t="str">
        <f>HYPERLINK("https://www.google.iq/maps/search/+36.4658,41.6276/@36.4658,41.6276,14z?hl=en","Maplink2")</f>
        <v>Maplink2</v>
      </c>
      <c r="AW781" s="20" t="str">
        <f>HYPERLINK("http://www.bing.com/maps/?lvl=14&amp;sty=h&amp;cp=36.4658~41.6276&amp;sp=point.36.4658_41.6276","Maplink3")</f>
        <v>Maplink3</v>
      </c>
    </row>
    <row r="782" spans="1:49" s="19" customFormat="1" x14ac:dyDescent="0.25">
      <c r="A782" s="9">
        <v>27358</v>
      </c>
      <c r="B782" s="10" t="s">
        <v>20</v>
      </c>
      <c r="C782" s="10" t="s">
        <v>1163</v>
      </c>
      <c r="D782" s="10" t="s">
        <v>1212</v>
      </c>
      <c r="E782" s="10" t="s">
        <v>1213</v>
      </c>
      <c r="F782" s="10">
        <v>36.36955837</v>
      </c>
      <c r="G782" s="10">
        <v>41.72378561</v>
      </c>
      <c r="H782" s="11">
        <v>81</v>
      </c>
      <c r="I782" s="11">
        <v>486</v>
      </c>
      <c r="J782" s="11"/>
      <c r="K782" s="11"/>
      <c r="L782" s="11"/>
      <c r="M782" s="11"/>
      <c r="N782" s="11">
        <v>81</v>
      </c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>
        <v>81</v>
      </c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>
        <v>81</v>
      </c>
      <c r="AP782" s="11"/>
      <c r="AQ782" s="11"/>
      <c r="AR782" s="11"/>
      <c r="AS782" s="11"/>
      <c r="AT782" s="11"/>
      <c r="AU782" s="20" t="str">
        <f>HYPERLINK("http://www.openstreetmap.org/?mlat=36.3696&amp;mlon=41.7238&amp;zoom=12#map=12/36.3696/41.7238","Maplink1")</f>
        <v>Maplink1</v>
      </c>
      <c r="AV782" s="20" t="str">
        <f>HYPERLINK("https://www.google.iq/maps/search/+36.3696,41.7238/@36.3696,41.7238,14z?hl=en","Maplink2")</f>
        <v>Maplink2</v>
      </c>
      <c r="AW782" s="20" t="str">
        <f>HYPERLINK("http://www.bing.com/maps/?lvl=14&amp;sty=h&amp;cp=36.3696~41.7238&amp;sp=point.36.3696_41.7238","Maplink3")</f>
        <v>Maplink3</v>
      </c>
    </row>
    <row r="783" spans="1:49" s="19" customFormat="1" x14ac:dyDescent="0.25">
      <c r="A783" s="9">
        <v>27364</v>
      </c>
      <c r="B783" s="10" t="s">
        <v>20</v>
      </c>
      <c r="C783" s="10" t="s">
        <v>1163</v>
      </c>
      <c r="D783" s="10" t="s">
        <v>1214</v>
      </c>
      <c r="E783" s="10" t="s">
        <v>1215</v>
      </c>
      <c r="F783" s="10">
        <v>36.377903250000003</v>
      </c>
      <c r="G783" s="10">
        <v>41.698554170000001</v>
      </c>
      <c r="H783" s="11">
        <v>30</v>
      </c>
      <c r="I783" s="11">
        <v>180</v>
      </c>
      <c r="J783" s="11"/>
      <c r="K783" s="11"/>
      <c r="L783" s="11"/>
      <c r="M783" s="11"/>
      <c r="N783" s="11">
        <v>30</v>
      </c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>
        <v>30</v>
      </c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>
        <v>30</v>
      </c>
      <c r="AP783" s="11"/>
      <c r="AQ783" s="11"/>
      <c r="AR783" s="11"/>
      <c r="AS783" s="11"/>
      <c r="AT783" s="11"/>
      <c r="AU783" s="20" t="str">
        <f>HYPERLINK("http://www.openstreetmap.org/?mlat=36.3779&amp;mlon=41.6986&amp;zoom=12#map=12/36.3779/41.6986","Maplink1")</f>
        <v>Maplink1</v>
      </c>
      <c r="AV783" s="20" t="str">
        <f>HYPERLINK("https://www.google.iq/maps/search/+36.3779,41.6986/@36.3779,41.6986,14z?hl=en","Maplink2")</f>
        <v>Maplink2</v>
      </c>
      <c r="AW783" s="20" t="str">
        <f>HYPERLINK("http://www.bing.com/maps/?lvl=14&amp;sty=h&amp;cp=36.3779~41.6986&amp;sp=point.36.3779_41.6986","Maplink3")</f>
        <v>Maplink3</v>
      </c>
    </row>
    <row r="784" spans="1:49" s="19" customFormat="1" x14ac:dyDescent="0.25">
      <c r="A784" s="9">
        <v>27397</v>
      </c>
      <c r="B784" s="10" t="s">
        <v>20</v>
      </c>
      <c r="C784" s="10" t="s">
        <v>1163</v>
      </c>
      <c r="D784" s="10" t="s">
        <v>1216</v>
      </c>
      <c r="E784" s="10" t="s">
        <v>1217</v>
      </c>
      <c r="F784" s="10">
        <v>36.416859670000001</v>
      </c>
      <c r="G784" s="10">
        <v>41.893854849999997</v>
      </c>
      <c r="H784" s="11">
        <v>45</v>
      </c>
      <c r="I784" s="11">
        <v>270</v>
      </c>
      <c r="J784" s="11"/>
      <c r="K784" s="11"/>
      <c r="L784" s="11"/>
      <c r="M784" s="11"/>
      <c r="N784" s="11">
        <v>45</v>
      </c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>
        <v>15</v>
      </c>
      <c r="AD784" s="11"/>
      <c r="AE784" s="11"/>
      <c r="AF784" s="11">
        <v>20</v>
      </c>
      <c r="AG784" s="11"/>
      <c r="AH784" s="11"/>
      <c r="AI784" s="11"/>
      <c r="AJ784" s="11"/>
      <c r="AK784" s="11">
        <v>10</v>
      </c>
      <c r="AL784" s="11"/>
      <c r="AM784" s="11"/>
      <c r="AN784" s="11"/>
      <c r="AO784" s="11">
        <v>45</v>
      </c>
      <c r="AP784" s="11"/>
      <c r="AQ784" s="11"/>
      <c r="AR784" s="11"/>
      <c r="AS784" s="11"/>
      <c r="AT784" s="11"/>
      <c r="AU784" s="20" t="str">
        <f>HYPERLINK("http://www.openstreetmap.org/?mlat=36.4169&amp;mlon=41.8939&amp;zoom=12#map=12/36.4169/41.8939","Maplink1")</f>
        <v>Maplink1</v>
      </c>
      <c r="AV784" s="20" t="str">
        <f>HYPERLINK("https://www.google.iq/maps/search/+36.4169,41.8939/@36.4169,41.8939,14z?hl=en","Maplink2")</f>
        <v>Maplink2</v>
      </c>
      <c r="AW784" s="20" t="str">
        <f>HYPERLINK("http://www.bing.com/maps/?lvl=14&amp;sty=h&amp;cp=36.4169~41.8939&amp;sp=point.36.4169_41.8939","Maplink3")</f>
        <v>Maplink3</v>
      </c>
    </row>
    <row r="785" spans="1:49" s="19" customFormat="1" x14ac:dyDescent="0.25">
      <c r="A785" s="9">
        <v>27363</v>
      </c>
      <c r="B785" s="10" t="s">
        <v>20</v>
      </c>
      <c r="C785" s="10" t="s">
        <v>1163</v>
      </c>
      <c r="D785" s="10" t="s">
        <v>1218</v>
      </c>
      <c r="E785" s="10" t="s">
        <v>1219</v>
      </c>
      <c r="F785" s="10">
        <v>36.417146760000001</v>
      </c>
      <c r="G785" s="10">
        <v>41.883773150000003</v>
      </c>
      <c r="H785" s="11">
        <v>54</v>
      </c>
      <c r="I785" s="11">
        <v>324</v>
      </c>
      <c r="J785" s="11"/>
      <c r="K785" s="11"/>
      <c r="L785" s="11"/>
      <c r="M785" s="11"/>
      <c r="N785" s="11">
        <v>50</v>
      </c>
      <c r="O785" s="11"/>
      <c r="P785" s="11"/>
      <c r="Q785" s="11"/>
      <c r="R785" s="11"/>
      <c r="S785" s="11"/>
      <c r="T785" s="11"/>
      <c r="U785" s="11"/>
      <c r="V785" s="11">
        <v>4</v>
      </c>
      <c r="W785" s="11"/>
      <c r="X785" s="11"/>
      <c r="Y785" s="11"/>
      <c r="Z785" s="11"/>
      <c r="AA785" s="11"/>
      <c r="AB785" s="11"/>
      <c r="AC785" s="11">
        <v>45</v>
      </c>
      <c r="AD785" s="11"/>
      <c r="AE785" s="11"/>
      <c r="AF785" s="11">
        <v>5</v>
      </c>
      <c r="AG785" s="11"/>
      <c r="AH785" s="11"/>
      <c r="AI785" s="11"/>
      <c r="AJ785" s="11"/>
      <c r="AK785" s="11">
        <v>4</v>
      </c>
      <c r="AL785" s="11"/>
      <c r="AM785" s="11"/>
      <c r="AN785" s="11"/>
      <c r="AO785" s="11">
        <v>54</v>
      </c>
      <c r="AP785" s="11"/>
      <c r="AQ785" s="11"/>
      <c r="AR785" s="11"/>
      <c r="AS785" s="11"/>
      <c r="AT785" s="11"/>
      <c r="AU785" s="20" t="str">
        <f>HYPERLINK("http://www.openstreetmap.org/?mlat=36.4171&amp;mlon=41.8838&amp;zoom=12#map=12/36.4171/41.8838","Maplink1")</f>
        <v>Maplink1</v>
      </c>
      <c r="AV785" s="20" t="str">
        <f>HYPERLINK("https://www.google.iq/maps/search/+36.4171,41.8838/@36.4171,41.8838,14z?hl=en","Maplink2")</f>
        <v>Maplink2</v>
      </c>
      <c r="AW785" s="20" t="str">
        <f>HYPERLINK("http://www.bing.com/maps/?lvl=14&amp;sty=h&amp;cp=36.4171~41.8838&amp;sp=point.36.4171_41.8838","Maplink3")</f>
        <v>Maplink3</v>
      </c>
    </row>
    <row r="786" spans="1:49" s="19" customFormat="1" x14ac:dyDescent="0.25">
      <c r="A786" s="9">
        <v>29603</v>
      </c>
      <c r="B786" s="10" t="s">
        <v>20</v>
      </c>
      <c r="C786" s="10" t="s">
        <v>1163</v>
      </c>
      <c r="D786" s="10" t="s">
        <v>1220</v>
      </c>
      <c r="E786" s="10" t="s">
        <v>1221</v>
      </c>
      <c r="F786" s="10">
        <v>36.337772883500001</v>
      </c>
      <c r="G786" s="10">
        <v>41.853129041400003</v>
      </c>
      <c r="H786" s="11">
        <v>75</v>
      </c>
      <c r="I786" s="11">
        <v>450</v>
      </c>
      <c r="J786" s="11"/>
      <c r="K786" s="11"/>
      <c r="L786" s="11"/>
      <c r="M786" s="11"/>
      <c r="N786" s="11">
        <v>75</v>
      </c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>
        <v>55</v>
      </c>
      <c r="AD786" s="11">
        <v>20</v>
      </c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>
        <v>75</v>
      </c>
      <c r="AP786" s="11"/>
      <c r="AQ786" s="11"/>
      <c r="AR786" s="11"/>
      <c r="AS786" s="11"/>
      <c r="AT786" s="11"/>
      <c r="AU786" s="20" t="str">
        <f>HYPERLINK("http://www.openstreetmap.org/?mlat=36.3378&amp;mlon=41.8531&amp;zoom=12#map=12/36.3378/41.8531","Maplink1")</f>
        <v>Maplink1</v>
      </c>
      <c r="AV786" s="20" t="str">
        <f>HYPERLINK("https://www.google.iq/maps/search/+36.3378,41.8531/@36.3378,41.8531,14z?hl=en","Maplink2")</f>
        <v>Maplink2</v>
      </c>
      <c r="AW786" s="20" t="str">
        <f>HYPERLINK("http://www.bing.com/maps/?lvl=14&amp;sty=h&amp;cp=36.3378~41.8531&amp;sp=point.36.3378_41.8531","Maplink3")</f>
        <v>Maplink3</v>
      </c>
    </row>
    <row r="787" spans="1:49" s="19" customFormat="1" x14ac:dyDescent="0.25">
      <c r="A787" s="9">
        <v>17694</v>
      </c>
      <c r="B787" s="10" t="s">
        <v>20</v>
      </c>
      <c r="C787" s="10" t="s">
        <v>1163</v>
      </c>
      <c r="D787" s="10" t="s">
        <v>1222</v>
      </c>
      <c r="E787" s="10" t="s">
        <v>1223</v>
      </c>
      <c r="F787" s="10">
        <v>36.440846270000002</v>
      </c>
      <c r="G787" s="10">
        <v>41.76676879</v>
      </c>
      <c r="H787" s="11">
        <v>33</v>
      </c>
      <c r="I787" s="11">
        <v>198</v>
      </c>
      <c r="J787" s="11"/>
      <c r="K787" s="11"/>
      <c r="L787" s="11"/>
      <c r="M787" s="11"/>
      <c r="N787" s="11">
        <v>26</v>
      </c>
      <c r="O787" s="11"/>
      <c r="P787" s="11"/>
      <c r="Q787" s="11"/>
      <c r="R787" s="11"/>
      <c r="S787" s="11"/>
      <c r="T787" s="11"/>
      <c r="U787" s="11"/>
      <c r="V787" s="11">
        <v>7</v>
      </c>
      <c r="W787" s="11"/>
      <c r="X787" s="11"/>
      <c r="Y787" s="11"/>
      <c r="Z787" s="11"/>
      <c r="AA787" s="11"/>
      <c r="AB787" s="11"/>
      <c r="AC787" s="11">
        <v>33</v>
      </c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>
        <v>33</v>
      </c>
      <c r="AP787" s="11"/>
      <c r="AQ787" s="11"/>
      <c r="AR787" s="11"/>
      <c r="AS787" s="11"/>
      <c r="AT787" s="11"/>
      <c r="AU787" s="20" t="str">
        <f>HYPERLINK("http://www.openstreetmap.org/?mlat=36.4408&amp;mlon=41.7668&amp;zoom=12#map=12/36.4408/41.7668","Maplink1")</f>
        <v>Maplink1</v>
      </c>
      <c r="AV787" s="20" t="str">
        <f>HYPERLINK("https://www.google.iq/maps/search/+36.4408,41.7668/@36.4408,41.7668,14z?hl=en","Maplink2")</f>
        <v>Maplink2</v>
      </c>
      <c r="AW787" s="20" t="str">
        <f>HYPERLINK("http://www.bing.com/maps/?lvl=14&amp;sty=h&amp;cp=36.4408~41.7668&amp;sp=point.36.4408_41.7668","Maplink3")</f>
        <v>Maplink3</v>
      </c>
    </row>
    <row r="788" spans="1:49" s="19" customFormat="1" x14ac:dyDescent="0.25">
      <c r="A788" s="9">
        <v>23667</v>
      </c>
      <c r="B788" s="10" t="s">
        <v>20</v>
      </c>
      <c r="C788" s="10" t="s">
        <v>1163</v>
      </c>
      <c r="D788" s="10" t="s">
        <v>1224</v>
      </c>
      <c r="E788" s="10" t="s">
        <v>1225</v>
      </c>
      <c r="F788" s="10">
        <v>36.316110000000002</v>
      </c>
      <c r="G788" s="10">
        <v>41.881909999999998</v>
      </c>
      <c r="H788" s="11">
        <v>291</v>
      </c>
      <c r="I788" s="11">
        <v>1746</v>
      </c>
      <c r="J788" s="11"/>
      <c r="K788" s="11"/>
      <c r="L788" s="11"/>
      <c r="M788" s="11"/>
      <c r="N788" s="11">
        <v>195</v>
      </c>
      <c r="O788" s="11"/>
      <c r="P788" s="11"/>
      <c r="Q788" s="11"/>
      <c r="R788" s="11"/>
      <c r="S788" s="11"/>
      <c r="T788" s="11"/>
      <c r="U788" s="11"/>
      <c r="V788" s="11">
        <v>96</v>
      </c>
      <c r="W788" s="11"/>
      <c r="X788" s="11"/>
      <c r="Y788" s="11"/>
      <c r="Z788" s="11"/>
      <c r="AA788" s="11"/>
      <c r="AB788" s="11"/>
      <c r="AC788" s="11">
        <v>250</v>
      </c>
      <c r="AD788" s="11">
        <v>41</v>
      </c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>
        <v>291</v>
      </c>
      <c r="AP788" s="11"/>
      <c r="AQ788" s="11"/>
      <c r="AR788" s="11"/>
      <c r="AS788" s="11"/>
      <c r="AT788" s="11"/>
      <c r="AU788" s="20" t="str">
        <f>HYPERLINK("http://www.openstreetmap.org/?mlat=36.3161&amp;mlon=41.8819&amp;zoom=12#map=12/36.3161/41.8819","Maplink1")</f>
        <v>Maplink1</v>
      </c>
      <c r="AV788" s="20" t="str">
        <f>HYPERLINK("https://www.google.iq/maps/search/+36.3161,41.8819/@36.3161,41.8819,14z?hl=en","Maplink2")</f>
        <v>Maplink2</v>
      </c>
      <c r="AW788" s="20" t="str">
        <f>HYPERLINK("http://www.bing.com/maps/?lvl=14&amp;sty=h&amp;cp=36.3161~41.8819&amp;sp=point.36.3161_41.8819","Maplink3")</f>
        <v>Maplink3</v>
      </c>
    </row>
    <row r="789" spans="1:49" s="19" customFormat="1" x14ac:dyDescent="0.25">
      <c r="A789" s="9">
        <v>27362</v>
      </c>
      <c r="B789" s="10" t="s">
        <v>20</v>
      </c>
      <c r="C789" s="10" t="s">
        <v>1163</v>
      </c>
      <c r="D789" s="10" t="s">
        <v>1226</v>
      </c>
      <c r="E789" s="10" t="s">
        <v>1227</v>
      </c>
      <c r="F789" s="10">
        <v>36.374150378899998</v>
      </c>
      <c r="G789" s="10">
        <v>41.749377557599999</v>
      </c>
      <c r="H789" s="11">
        <v>11</v>
      </c>
      <c r="I789" s="11">
        <v>66</v>
      </c>
      <c r="J789" s="11"/>
      <c r="K789" s="11"/>
      <c r="L789" s="11"/>
      <c r="M789" s="11"/>
      <c r="N789" s="11">
        <v>11</v>
      </c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>
        <v>11</v>
      </c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>
        <v>11</v>
      </c>
      <c r="AP789" s="11"/>
      <c r="AQ789" s="11"/>
      <c r="AR789" s="11"/>
      <c r="AS789" s="11"/>
      <c r="AT789" s="11"/>
      <c r="AU789" s="20" t="str">
        <f>HYPERLINK("http://www.openstreetmap.org/?mlat=36.3742&amp;mlon=41.7494&amp;zoom=12#map=12/36.3742/41.7494","Maplink1")</f>
        <v>Maplink1</v>
      </c>
      <c r="AV789" s="20" t="str">
        <f>HYPERLINK("https://www.google.iq/maps/search/+36.3742,41.7494/@36.3742,41.7494,14z?hl=en","Maplink2")</f>
        <v>Maplink2</v>
      </c>
      <c r="AW789" s="20" t="str">
        <f>HYPERLINK("http://www.bing.com/maps/?lvl=14&amp;sty=h&amp;cp=36.3742~41.7494&amp;sp=point.36.3742_41.7494","Maplink3")</f>
        <v>Maplink3</v>
      </c>
    </row>
    <row r="790" spans="1:49" s="19" customFormat="1" x14ac:dyDescent="0.25">
      <c r="A790" s="9">
        <v>27359</v>
      </c>
      <c r="B790" s="10" t="s">
        <v>20</v>
      </c>
      <c r="C790" s="10" t="s">
        <v>1163</v>
      </c>
      <c r="D790" s="10" t="s">
        <v>1228</v>
      </c>
      <c r="E790" s="10" t="s">
        <v>1229</v>
      </c>
      <c r="F790" s="10">
        <v>36.372494570000001</v>
      </c>
      <c r="G790" s="10">
        <v>41.717848369999999</v>
      </c>
      <c r="H790" s="11">
        <v>44</v>
      </c>
      <c r="I790" s="11">
        <v>264</v>
      </c>
      <c r="J790" s="11"/>
      <c r="K790" s="11"/>
      <c r="L790" s="11"/>
      <c r="M790" s="11"/>
      <c r="N790" s="11">
        <v>44</v>
      </c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>
        <v>44</v>
      </c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>
        <v>44</v>
      </c>
      <c r="AP790" s="11"/>
      <c r="AQ790" s="11"/>
      <c r="AR790" s="11"/>
      <c r="AS790" s="11"/>
      <c r="AT790" s="11"/>
      <c r="AU790" s="20" t="str">
        <f>HYPERLINK("http://www.openstreetmap.org/?mlat=36.3725&amp;mlon=41.7178&amp;zoom=12#map=12/36.3725/41.7178","Maplink1")</f>
        <v>Maplink1</v>
      </c>
      <c r="AV790" s="20" t="str">
        <f>HYPERLINK("https://www.google.iq/maps/search/+36.3725,41.7178/@36.3725,41.7178,14z?hl=en","Maplink2")</f>
        <v>Maplink2</v>
      </c>
      <c r="AW790" s="20" t="str">
        <f>HYPERLINK("http://www.bing.com/maps/?lvl=14&amp;sty=h&amp;cp=36.3725~41.7178&amp;sp=point.36.3725_41.7178","Maplink3")</f>
        <v>Maplink3</v>
      </c>
    </row>
    <row r="791" spans="1:49" s="19" customFormat="1" x14ac:dyDescent="0.25">
      <c r="A791" s="9">
        <v>27399</v>
      </c>
      <c r="B791" s="10" t="s">
        <v>20</v>
      </c>
      <c r="C791" s="10" t="s">
        <v>1163</v>
      </c>
      <c r="D791" s="10" t="s">
        <v>1230</v>
      </c>
      <c r="E791" s="10" t="s">
        <v>1231</v>
      </c>
      <c r="F791" s="10">
        <v>36.429950669999997</v>
      </c>
      <c r="G791" s="10">
        <v>41.868081879999998</v>
      </c>
      <c r="H791" s="11">
        <v>159</v>
      </c>
      <c r="I791" s="11">
        <v>954</v>
      </c>
      <c r="J791" s="11"/>
      <c r="K791" s="11"/>
      <c r="L791" s="11"/>
      <c r="M791" s="11"/>
      <c r="N791" s="11">
        <v>159</v>
      </c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>
        <v>159</v>
      </c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>
        <v>159</v>
      </c>
      <c r="AP791" s="11"/>
      <c r="AQ791" s="11"/>
      <c r="AR791" s="11"/>
      <c r="AS791" s="11"/>
      <c r="AT791" s="11"/>
      <c r="AU791" s="20" t="str">
        <f>HYPERLINK("http://www.openstreetmap.org/?mlat=36.43&amp;mlon=41.8681&amp;zoom=12#map=12/36.43/41.8681","Maplink1")</f>
        <v>Maplink1</v>
      </c>
      <c r="AV791" s="20" t="str">
        <f>HYPERLINK("https://www.google.iq/maps/search/+36.43,41.8681/@36.43,41.8681,14z?hl=en","Maplink2")</f>
        <v>Maplink2</v>
      </c>
      <c r="AW791" s="20" t="str">
        <f>HYPERLINK("http://www.bing.com/maps/?lvl=14&amp;sty=h&amp;cp=36.43~41.8681&amp;sp=point.36.43_41.8681","Maplink3")</f>
        <v>Maplink3</v>
      </c>
    </row>
    <row r="792" spans="1:49" s="19" customFormat="1" x14ac:dyDescent="0.25">
      <c r="A792" s="9">
        <v>27400</v>
      </c>
      <c r="B792" s="10" t="s">
        <v>20</v>
      </c>
      <c r="C792" s="10" t="s">
        <v>1163</v>
      </c>
      <c r="D792" s="10" t="s">
        <v>1232</v>
      </c>
      <c r="E792" s="10" t="s">
        <v>1233</v>
      </c>
      <c r="F792" s="10">
        <v>36.379832100000002</v>
      </c>
      <c r="G792" s="10">
        <v>41.715568089999998</v>
      </c>
      <c r="H792" s="11">
        <v>25</v>
      </c>
      <c r="I792" s="11">
        <v>150</v>
      </c>
      <c r="J792" s="11"/>
      <c r="K792" s="11"/>
      <c r="L792" s="11"/>
      <c r="M792" s="11"/>
      <c r="N792" s="11">
        <v>25</v>
      </c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>
        <v>25</v>
      </c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>
        <v>25</v>
      </c>
      <c r="AP792" s="11"/>
      <c r="AQ792" s="11"/>
      <c r="AR792" s="11"/>
      <c r="AS792" s="11"/>
      <c r="AT792" s="11"/>
      <c r="AU792" s="20" t="str">
        <f>HYPERLINK("http://www.openstreetmap.org/?mlat=36.3798&amp;mlon=41.7156&amp;zoom=12#map=12/36.3798/41.7156","Maplink1")</f>
        <v>Maplink1</v>
      </c>
      <c r="AV792" s="20" t="str">
        <f>HYPERLINK("https://www.google.iq/maps/search/+36.3798,41.7156/@36.3798,41.7156,14z?hl=en","Maplink2")</f>
        <v>Maplink2</v>
      </c>
      <c r="AW792" s="20" t="str">
        <f>HYPERLINK("http://www.bing.com/maps/?lvl=14&amp;sty=h&amp;cp=36.3798~41.7156&amp;sp=point.36.3798_41.7156","Maplink3")</f>
        <v>Maplink3</v>
      </c>
    </row>
    <row r="793" spans="1:49" s="19" customFormat="1" x14ac:dyDescent="0.25">
      <c r="A793" s="9">
        <v>17928</v>
      </c>
      <c r="B793" s="10" t="s">
        <v>20</v>
      </c>
      <c r="C793" s="10" t="s">
        <v>1163</v>
      </c>
      <c r="D793" s="10" t="s">
        <v>1234</v>
      </c>
      <c r="E793" s="10" t="s">
        <v>1235</v>
      </c>
      <c r="F793" s="10">
        <v>36.466222760000001</v>
      </c>
      <c r="G793" s="10">
        <v>41.711691940000001</v>
      </c>
      <c r="H793" s="11">
        <v>887</v>
      </c>
      <c r="I793" s="11">
        <v>5322</v>
      </c>
      <c r="J793" s="11"/>
      <c r="K793" s="11"/>
      <c r="L793" s="11"/>
      <c r="M793" s="11"/>
      <c r="N793" s="11">
        <v>740</v>
      </c>
      <c r="O793" s="11"/>
      <c r="P793" s="11"/>
      <c r="Q793" s="11"/>
      <c r="R793" s="11"/>
      <c r="S793" s="11"/>
      <c r="T793" s="11"/>
      <c r="U793" s="11"/>
      <c r="V793" s="11">
        <v>147</v>
      </c>
      <c r="W793" s="11"/>
      <c r="X793" s="11"/>
      <c r="Y793" s="11"/>
      <c r="Z793" s="11"/>
      <c r="AA793" s="11"/>
      <c r="AB793" s="11"/>
      <c r="AC793" s="11">
        <v>887</v>
      </c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>
        <v>887</v>
      </c>
      <c r="AP793" s="11"/>
      <c r="AQ793" s="11"/>
      <c r="AR793" s="11"/>
      <c r="AS793" s="11"/>
      <c r="AT793" s="11"/>
      <c r="AU793" s="20" t="str">
        <f>HYPERLINK("http://www.openstreetmap.org/?mlat=36.4662&amp;mlon=41.7117&amp;zoom=12#map=12/36.4662/41.7117","Maplink1")</f>
        <v>Maplink1</v>
      </c>
      <c r="AV793" s="20" t="str">
        <f>HYPERLINK("https://www.google.iq/maps/search/+36.4662,41.7117/@36.4662,41.7117,14z?hl=en","Maplink2")</f>
        <v>Maplink2</v>
      </c>
      <c r="AW793" s="20" t="str">
        <f>HYPERLINK("http://www.bing.com/maps/?lvl=14&amp;sty=h&amp;cp=36.4662~41.7117&amp;sp=point.36.4662_41.7117","Maplink3")</f>
        <v>Maplink3</v>
      </c>
    </row>
    <row r="794" spans="1:49" s="19" customFormat="1" x14ac:dyDescent="0.25">
      <c r="A794" s="9">
        <v>31742</v>
      </c>
      <c r="B794" s="10" t="s">
        <v>20</v>
      </c>
      <c r="C794" s="10" t="s">
        <v>1163</v>
      </c>
      <c r="D794" s="10" t="s">
        <v>1236</v>
      </c>
      <c r="E794" s="10" t="s">
        <v>1237</v>
      </c>
      <c r="F794" s="10">
        <v>36.332430000000002</v>
      </c>
      <c r="G794" s="10">
        <v>41.89687</v>
      </c>
      <c r="H794" s="11">
        <v>142</v>
      </c>
      <c r="I794" s="11">
        <v>852</v>
      </c>
      <c r="J794" s="11"/>
      <c r="K794" s="11"/>
      <c r="L794" s="11"/>
      <c r="M794" s="11"/>
      <c r="N794" s="11">
        <v>100</v>
      </c>
      <c r="O794" s="11"/>
      <c r="P794" s="11"/>
      <c r="Q794" s="11"/>
      <c r="R794" s="11"/>
      <c r="S794" s="11"/>
      <c r="T794" s="11"/>
      <c r="U794" s="11"/>
      <c r="V794" s="11">
        <v>42</v>
      </c>
      <c r="W794" s="11"/>
      <c r="X794" s="11"/>
      <c r="Y794" s="11"/>
      <c r="Z794" s="11"/>
      <c r="AA794" s="11"/>
      <c r="AB794" s="11"/>
      <c r="AC794" s="11">
        <v>142</v>
      </c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>
        <v>142</v>
      </c>
      <c r="AP794" s="11"/>
      <c r="AQ794" s="11"/>
      <c r="AR794" s="11"/>
      <c r="AS794" s="11"/>
      <c r="AT794" s="11"/>
      <c r="AU794" s="20" t="str">
        <f>HYPERLINK("http://www.openstreetmap.org/?mlat=36.3324&amp;mlon=41.8969&amp;zoom=12#map=12/36.3324/41.8969","Maplink1")</f>
        <v>Maplink1</v>
      </c>
      <c r="AV794" s="20" t="str">
        <f>HYPERLINK("https://www.google.iq/maps/search/+36.3324,41.8969/@36.3324,41.8969,14z?hl=en","Maplink2")</f>
        <v>Maplink2</v>
      </c>
      <c r="AW794" s="20" t="str">
        <f>HYPERLINK("http://www.bing.com/maps/?lvl=14&amp;sty=h&amp;cp=36.3324~41.8969&amp;sp=point.36.3324_41.8969","Maplink3")</f>
        <v>Maplink3</v>
      </c>
    </row>
    <row r="795" spans="1:49" s="19" customFormat="1" x14ac:dyDescent="0.25">
      <c r="A795" s="9">
        <v>28448</v>
      </c>
      <c r="B795" s="10" t="s">
        <v>20</v>
      </c>
      <c r="C795" s="10" t="s">
        <v>1163</v>
      </c>
      <c r="D795" s="10" t="s">
        <v>1238</v>
      </c>
      <c r="E795" s="10" t="s">
        <v>1239</v>
      </c>
      <c r="F795" s="10">
        <v>36.42316417</v>
      </c>
      <c r="G795" s="10">
        <v>41.865733599999999</v>
      </c>
      <c r="H795" s="11">
        <v>43</v>
      </c>
      <c r="I795" s="11">
        <v>258</v>
      </c>
      <c r="J795" s="11"/>
      <c r="K795" s="11"/>
      <c r="L795" s="11"/>
      <c r="M795" s="11"/>
      <c r="N795" s="11">
        <v>43</v>
      </c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>
        <v>16</v>
      </c>
      <c r="AD795" s="11"/>
      <c r="AE795" s="11"/>
      <c r="AF795" s="11">
        <v>17</v>
      </c>
      <c r="AG795" s="11"/>
      <c r="AH795" s="11"/>
      <c r="AI795" s="11"/>
      <c r="AJ795" s="11"/>
      <c r="AK795" s="11">
        <v>10</v>
      </c>
      <c r="AL795" s="11"/>
      <c r="AM795" s="11"/>
      <c r="AN795" s="11"/>
      <c r="AO795" s="11">
        <v>43</v>
      </c>
      <c r="AP795" s="11"/>
      <c r="AQ795" s="11"/>
      <c r="AR795" s="11"/>
      <c r="AS795" s="11"/>
      <c r="AT795" s="11"/>
      <c r="AU795" s="20" t="str">
        <f>HYPERLINK("http://www.openstreetmap.org/?mlat=36.4232&amp;mlon=41.8657&amp;zoom=12#map=12/36.4232/41.8657","Maplink1")</f>
        <v>Maplink1</v>
      </c>
      <c r="AV795" s="20" t="str">
        <f>HYPERLINK("https://www.google.iq/maps/search/+36.4232,41.8657/@36.4232,41.8657,14z?hl=en","Maplink2")</f>
        <v>Maplink2</v>
      </c>
      <c r="AW795" s="20" t="str">
        <f>HYPERLINK("http://www.bing.com/maps/?lvl=14&amp;sty=h&amp;cp=36.4232~41.8657&amp;sp=point.36.4232_41.8657","Maplink3")</f>
        <v>Maplink3</v>
      </c>
    </row>
    <row r="796" spans="1:49" s="19" customFormat="1" x14ac:dyDescent="0.25">
      <c r="A796" s="9">
        <v>27361</v>
      </c>
      <c r="B796" s="10" t="s">
        <v>20</v>
      </c>
      <c r="C796" s="10" t="s">
        <v>1163</v>
      </c>
      <c r="D796" s="10" t="s">
        <v>1240</v>
      </c>
      <c r="E796" s="10" t="s">
        <v>1241</v>
      </c>
      <c r="F796" s="10">
        <v>36.375244917000003</v>
      </c>
      <c r="G796" s="10">
        <v>41.784992043199999</v>
      </c>
      <c r="H796" s="11">
        <v>1</v>
      </c>
      <c r="I796" s="11">
        <v>6</v>
      </c>
      <c r="J796" s="11"/>
      <c r="K796" s="11"/>
      <c r="L796" s="11"/>
      <c r="M796" s="11"/>
      <c r="N796" s="11">
        <v>1</v>
      </c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>
        <v>1</v>
      </c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>
        <v>1</v>
      </c>
      <c r="AP796" s="11"/>
      <c r="AQ796" s="11"/>
      <c r="AR796" s="11"/>
      <c r="AS796" s="11"/>
      <c r="AT796" s="11"/>
      <c r="AU796" s="20" t="str">
        <f>HYPERLINK("http://www.openstreetmap.org/?mlat=36.3752&amp;mlon=41.785&amp;zoom=12#map=12/36.3752/41.785","Maplink1")</f>
        <v>Maplink1</v>
      </c>
      <c r="AV796" s="20" t="str">
        <f>HYPERLINK("https://www.google.iq/maps/search/+36.3752,41.785/@36.3752,41.785,14z?hl=en","Maplink2")</f>
        <v>Maplink2</v>
      </c>
      <c r="AW796" s="20" t="str">
        <f>HYPERLINK("http://www.bing.com/maps/?lvl=14&amp;sty=h&amp;cp=36.3752~41.785&amp;sp=point.36.3752_41.785","Maplink3")</f>
        <v>Maplink3</v>
      </c>
    </row>
    <row r="797" spans="1:49" s="19" customFormat="1" x14ac:dyDescent="0.25">
      <c r="A797" s="9">
        <v>27287</v>
      </c>
      <c r="B797" s="10" t="s">
        <v>20</v>
      </c>
      <c r="C797" s="10" t="s">
        <v>1163</v>
      </c>
      <c r="D797" s="10" t="s">
        <v>1242</v>
      </c>
      <c r="E797" s="10" t="s">
        <v>1243</v>
      </c>
      <c r="F797" s="10">
        <v>36.471242240000002</v>
      </c>
      <c r="G797" s="10">
        <v>42.01619548</v>
      </c>
      <c r="H797" s="11">
        <v>691</v>
      </c>
      <c r="I797" s="11">
        <v>4146</v>
      </c>
      <c r="J797" s="11"/>
      <c r="K797" s="11"/>
      <c r="L797" s="11"/>
      <c r="M797" s="11"/>
      <c r="N797" s="11">
        <v>550</v>
      </c>
      <c r="O797" s="11"/>
      <c r="P797" s="11"/>
      <c r="Q797" s="11"/>
      <c r="R797" s="11"/>
      <c r="S797" s="11"/>
      <c r="T797" s="11"/>
      <c r="U797" s="11"/>
      <c r="V797" s="11">
        <v>141</v>
      </c>
      <c r="W797" s="11"/>
      <c r="X797" s="11"/>
      <c r="Y797" s="11"/>
      <c r="Z797" s="11"/>
      <c r="AA797" s="11"/>
      <c r="AB797" s="11"/>
      <c r="AC797" s="11">
        <v>691</v>
      </c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>
        <v>691</v>
      </c>
      <c r="AP797" s="11"/>
      <c r="AQ797" s="11"/>
      <c r="AR797" s="11"/>
      <c r="AS797" s="11"/>
      <c r="AT797" s="11"/>
      <c r="AU797" s="20" t="str">
        <f>HYPERLINK("http://www.openstreetmap.org/?mlat=36.4712&amp;mlon=42.0162&amp;zoom=12#map=12/36.4712/42.0162","Maplink1")</f>
        <v>Maplink1</v>
      </c>
      <c r="AV797" s="20" t="str">
        <f>HYPERLINK("https://www.google.iq/maps/search/+36.4712,42.0162/@36.4712,42.0162,14z?hl=en","Maplink2")</f>
        <v>Maplink2</v>
      </c>
      <c r="AW797" s="20" t="str">
        <f>HYPERLINK("http://www.bing.com/maps/?lvl=14&amp;sty=h&amp;cp=36.4712~42.0162&amp;sp=point.36.4712_42.0162","Maplink3")</f>
        <v>Maplink3</v>
      </c>
    </row>
    <row r="798" spans="1:49" s="19" customFormat="1" x14ac:dyDescent="0.25">
      <c r="A798" s="9">
        <v>17645</v>
      </c>
      <c r="B798" s="10" t="s">
        <v>20</v>
      </c>
      <c r="C798" s="10" t="s">
        <v>1244</v>
      </c>
      <c r="D798" s="10" t="s">
        <v>1245</v>
      </c>
      <c r="E798" s="10" t="s">
        <v>1246</v>
      </c>
      <c r="F798" s="10">
        <v>36.519699000000003</v>
      </c>
      <c r="G798" s="10">
        <v>42.085087999999999</v>
      </c>
      <c r="H798" s="11">
        <v>102</v>
      </c>
      <c r="I798" s="11">
        <v>612</v>
      </c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>
        <v>102</v>
      </c>
      <c r="W798" s="11"/>
      <c r="X798" s="11"/>
      <c r="Y798" s="11"/>
      <c r="Z798" s="11"/>
      <c r="AA798" s="11"/>
      <c r="AB798" s="11"/>
      <c r="AC798" s="11">
        <v>102</v>
      </c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>
        <v>99</v>
      </c>
      <c r="AP798" s="11"/>
      <c r="AQ798" s="11"/>
      <c r="AR798" s="11">
        <v>3</v>
      </c>
      <c r="AS798" s="11"/>
      <c r="AT798" s="11"/>
      <c r="AU798" s="20" t="str">
        <f>HYPERLINK("http://www.openstreetmap.org/?mlat=36.5197&amp;mlon=42.0851&amp;zoom=12#map=12/36.5197/42.0851","Maplink1")</f>
        <v>Maplink1</v>
      </c>
      <c r="AV798" s="20" t="str">
        <f>HYPERLINK("https://www.google.iq/maps/search/+36.5197,42.0851/@36.5197,42.0851,14z?hl=en","Maplink2")</f>
        <v>Maplink2</v>
      </c>
      <c r="AW798" s="20" t="str">
        <f>HYPERLINK("http://www.bing.com/maps/?lvl=14&amp;sty=h&amp;cp=36.5197~42.0851&amp;sp=point.36.5197_42.0851","Maplink3")</f>
        <v>Maplink3</v>
      </c>
    </row>
    <row r="799" spans="1:49" s="19" customFormat="1" x14ac:dyDescent="0.25">
      <c r="A799" s="9">
        <v>17657</v>
      </c>
      <c r="B799" s="10" t="s">
        <v>20</v>
      </c>
      <c r="C799" s="10" t="s">
        <v>1244</v>
      </c>
      <c r="D799" s="10" t="s">
        <v>1247</v>
      </c>
      <c r="E799" s="10" t="s">
        <v>1248</v>
      </c>
      <c r="F799" s="10">
        <v>36.764801050000003</v>
      </c>
      <c r="G799" s="10">
        <v>42.208764960000003</v>
      </c>
      <c r="H799" s="11">
        <v>233</v>
      </c>
      <c r="I799" s="11">
        <v>1398</v>
      </c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>
        <v>233</v>
      </c>
      <c r="W799" s="11"/>
      <c r="X799" s="11"/>
      <c r="Y799" s="11"/>
      <c r="Z799" s="11"/>
      <c r="AA799" s="11"/>
      <c r="AB799" s="11"/>
      <c r="AC799" s="11">
        <v>233</v>
      </c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>
        <v>233</v>
      </c>
      <c r="AP799" s="11"/>
      <c r="AQ799" s="11"/>
      <c r="AR799" s="11"/>
      <c r="AS799" s="11"/>
      <c r="AT799" s="11"/>
      <c r="AU799" s="20" t="str">
        <f>HYPERLINK("http://www.openstreetmap.org/?mlat=36.7648&amp;mlon=42.2088&amp;zoom=12#map=12/36.7648/42.2088","Maplink1")</f>
        <v>Maplink1</v>
      </c>
      <c r="AV799" s="20" t="str">
        <f>HYPERLINK("https://www.google.iq/maps/search/+36.7648,42.2088/@36.7648,42.2088,14z?hl=en","Maplink2")</f>
        <v>Maplink2</v>
      </c>
      <c r="AW799" s="20" t="str">
        <f>HYPERLINK("http://www.bing.com/maps/?lvl=14&amp;sty=h&amp;cp=36.7648~42.2088&amp;sp=point.36.7648_42.2088","Maplink3")</f>
        <v>Maplink3</v>
      </c>
    </row>
    <row r="800" spans="1:49" s="19" customFormat="1" x14ac:dyDescent="0.25">
      <c r="A800" s="9">
        <v>18262</v>
      </c>
      <c r="B800" s="10" t="s">
        <v>20</v>
      </c>
      <c r="C800" s="10" t="s">
        <v>1244</v>
      </c>
      <c r="D800" s="10" t="s">
        <v>1249</v>
      </c>
      <c r="E800" s="10" t="s">
        <v>1963</v>
      </c>
      <c r="F800" s="10">
        <v>36.739933999999998</v>
      </c>
      <c r="G800" s="10">
        <v>42.124847000000003</v>
      </c>
      <c r="H800" s="11">
        <v>336</v>
      </c>
      <c r="I800" s="11">
        <v>2016</v>
      </c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>
        <v>336</v>
      </c>
      <c r="W800" s="11"/>
      <c r="X800" s="11"/>
      <c r="Y800" s="11"/>
      <c r="Z800" s="11"/>
      <c r="AA800" s="11"/>
      <c r="AB800" s="11"/>
      <c r="AC800" s="11">
        <v>336</v>
      </c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>
        <v>336</v>
      </c>
      <c r="AP800" s="11"/>
      <c r="AQ800" s="11"/>
      <c r="AR800" s="11"/>
      <c r="AS800" s="11"/>
      <c r="AT800" s="11"/>
      <c r="AU800" s="20" t="str">
        <f>HYPERLINK("http://www.openstreetmap.org/?mlat=36.7399&amp;mlon=42.1248&amp;zoom=12#map=12/36.7399/42.1248","Maplink1")</f>
        <v>Maplink1</v>
      </c>
      <c r="AV800" s="20" t="str">
        <f>HYPERLINK("https://www.google.iq/maps/search/+36.7399,42.1248/@36.7399,42.1248,14z?hl=en","Maplink2")</f>
        <v>Maplink2</v>
      </c>
      <c r="AW800" s="20" t="str">
        <f>HYPERLINK("http://www.bing.com/maps/?lvl=14&amp;sty=h&amp;cp=36.7399~42.1248&amp;sp=point.36.7399_42.1248","Maplink3")</f>
        <v>Maplink3</v>
      </c>
    </row>
    <row r="801" spans="1:49" s="19" customFormat="1" x14ac:dyDescent="0.25">
      <c r="A801" s="9">
        <v>17486</v>
      </c>
      <c r="B801" s="10" t="s">
        <v>20</v>
      </c>
      <c r="C801" s="10" t="s">
        <v>1244</v>
      </c>
      <c r="D801" s="10" t="s">
        <v>1964</v>
      </c>
      <c r="E801" s="10" t="s">
        <v>1779</v>
      </c>
      <c r="F801" s="10">
        <v>36.427999999999997</v>
      </c>
      <c r="G801" s="10">
        <v>42.598599999999998</v>
      </c>
      <c r="H801" s="11">
        <v>1500</v>
      </c>
      <c r="I801" s="11">
        <v>9000</v>
      </c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>
        <v>1500</v>
      </c>
      <c r="W801" s="11"/>
      <c r="X801" s="11"/>
      <c r="Y801" s="11"/>
      <c r="Z801" s="11"/>
      <c r="AA801" s="11"/>
      <c r="AB801" s="11"/>
      <c r="AC801" s="11">
        <v>1500</v>
      </c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>
        <v>1500</v>
      </c>
      <c r="AU801" s="20" t="str">
        <f>HYPERLINK("http://www.openstreetmap.org/?mlat=36.428&amp;mlon=42.5986&amp;zoom=12#map=12/36.428/42.5986","Maplink1")</f>
        <v>Maplink1</v>
      </c>
      <c r="AV801" s="20" t="str">
        <f>HYPERLINK("https://www.google.iq/maps/search/+36.428,42.5986/@36.428,42.5986,14z?hl=en","Maplink2")</f>
        <v>Maplink2</v>
      </c>
      <c r="AW801" s="20" t="str">
        <f>HYPERLINK("http://www.bing.com/maps/?lvl=14&amp;sty=h&amp;cp=36.428~42.5986&amp;sp=point.36.428_42.5986","Maplink3")</f>
        <v>Maplink3</v>
      </c>
    </row>
    <row r="802" spans="1:49" s="19" customFormat="1" x14ac:dyDescent="0.25">
      <c r="A802" s="9">
        <v>17575</v>
      </c>
      <c r="B802" s="10" t="s">
        <v>20</v>
      </c>
      <c r="C802" s="10" t="s">
        <v>1244</v>
      </c>
      <c r="D802" s="10" t="s">
        <v>1633</v>
      </c>
      <c r="E802" s="10" t="s">
        <v>1634</v>
      </c>
      <c r="F802" s="10">
        <v>36.695300000000003</v>
      </c>
      <c r="G802" s="10">
        <v>42.632300000000001</v>
      </c>
      <c r="H802" s="11">
        <v>70</v>
      </c>
      <c r="I802" s="11">
        <v>420</v>
      </c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>
        <v>70</v>
      </c>
      <c r="W802" s="11"/>
      <c r="X802" s="11"/>
      <c r="Y802" s="11"/>
      <c r="Z802" s="11"/>
      <c r="AA802" s="11"/>
      <c r="AB802" s="11"/>
      <c r="AC802" s="11">
        <v>70</v>
      </c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>
        <v>70</v>
      </c>
      <c r="AP802" s="11"/>
      <c r="AQ802" s="11"/>
      <c r="AR802" s="11"/>
      <c r="AS802" s="11"/>
      <c r="AT802" s="11"/>
      <c r="AU802" s="20" t="str">
        <f>HYPERLINK("http://www.openstreetmap.org/?mlat=36.6953&amp;mlon=42.6323&amp;zoom=12#map=12/36.6953/42.6323","Maplink1")</f>
        <v>Maplink1</v>
      </c>
      <c r="AV802" s="20" t="str">
        <f>HYPERLINK("https://www.google.iq/maps/search/+36.6953,42.6323/@36.6953,42.6323,14z?hl=en","Maplink2")</f>
        <v>Maplink2</v>
      </c>
      <c r="AW802" s="20" t="str">
        <f>HYPERLINK("http://www.bing.com/maps/?lvl=14&amp;sty=h&amp;cp=36.6953~42.6323&amp;sp=point.36.6953_42.6323","Maplink3")</f>
        <v>Maplink3</v>
      </c>
    </row>
    <row r="803" spans="1:49" s="19" customFormat="1" x14ac:dyDescent="0.25">
      <c r="A803" s="9">
        <v>27382</v>
      </c>
      <c r="B803" s="10" t="s">
        <v>20</v>
      </c>
      <c r="C803" s="10" t="s">
        <v>1244</v>
      </c>
      <c r="D803" s="10" t="s">
        <v>1635</v>
      </c>
      <c r="E803" s="10" t="s">
        <v>1636</v>
      </c>
      <c r="F803" s="10">
        <v>36.628990139999999</v>
      </c>
      <c r="G803" s="10">
        <v>42.464459980000001</v>
      </c>
      <c r="H803" s="11">
        <v>250</v>
      </c>
      <c r="I803" s="11">
        <v>1500</v>
      </c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>
        <v>250</v>
      </c>
      <c r="W803" s="11"/>
      <c r="X803" s="11"/>
      <c r="Y803" s="11"/>
      <c r="Z803" s="11"/>
      <c r="AA803" s="11"/>
      <c r="AB803" s="11"/>
      <c r="AC803" s="11">
        <v>250</v>
      </c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>
        <v>250</v>
      </c>
      <c r="AQ803" s="11"/>
      <c r="AR803" s="11"/>
      <c r="AS803" s="11"/>
      <c r="AT803" s="11"/>
      <c r="AU803" s="20" t="str">
        <f>HYPERLINK("http://www.openstreetmap.org/?mlat=36.629&amp;mlon=42.4645&amp;zoom=12#map=12/36.629/42.4645","Maplink1")</f>
        <v>Maplink1</v>
      </c>
      <c r="AV803" s="20" t="str">
        <f>HYPERLINK("https://www.google.iq/maps/search/+36.629,42.4645/@36.629,42.4645,14z?hl=en","Maplink2")</f>
        <v>Maplink2</v>
      </c>
      <c r="AW803" s="20" t="str">
        <f>HYPERLINK("http://www.bing.com/maps/?lvl=14&amp;sty=h&amp;cp=36.629~42.4645&amp;sp=point.36.629_42.4645","Maplink3")</f>
        <v>Maplink3</v>
      </c>
    </row>
    <row r="804" spans="1:49" s="19" customFormat="1" x14ac:dyDescent="0.25">
      <c r="A804" s="9">
        <v>17746</v>
      </c>
      <c r="B804" s="10" t="s">
        <v>20</v>
      </c>
      <c r="C804" s="10" t="s">
        <v>1244</v>
      </c>
      <c r="D804" s="10" t="s">
        <v>1250</v>
      </c>
      <c r="E804" s="10" t="s">
        <v>1251</v>
      </c>
      <c r="F804" s="10">
        <v>36.605374259999998</v>
      </c>
      <c r="G804" s="10">
        <v>42.623551249999998</v>
      </c>
      <c r="H804" s="11">
        <v>275</v>
      </c>
      <c r="I804" s="11">
        <v>1650</v>
      </c>
      <c r="J804" s="11"/>
      <c r="K804" s="11"/>
      <c r="L804" s="11"/>
      <c r="M804" s="11"/>
      <c r="N804" s="11">
        <v>250</v>
      </c>
      <c r="O804" s="11"/>
      <c r="P804" s="11">
        <v>15</v>
      </c>
      <c r="Q804" s="11"/>
      <c r="R804" s="11"/>
      <c r="S804" s="11"/>
      <c r="T804" s="11"/>
      <c r="U804" s="11"/>
      <c r="V804" s="11"/>
      <c r="W804" s="11"/>
      <c r="X804" s="11"/>
      <c r="Y804" s="11">
        <v>10</v>
      </c>
      <c r="Z804" s="11"/>
      <c r="AA804" s="11"/>
      <c r="AB804" s="11"/>
      <c r="AC804" s="11">
        <v>262</v>
      </c>
      <c r="AD804" s="11">
        <v>13</v>
      </c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>
        <v>275</v>
      </c>
      <c r="AP804" s="11"/>
      <c r="AQ804" s="11"/>
      <c r="AR804" s="11"/>
      <c r="AS804" s="11"/>
      <c r="AT804" s="11"/>
      <c r="AU804" s="20" t="str">
        <f>HYPERLINK("http://www.openstreetmap.org/?mlat=36.6054&amp;mlon=42.6236&amp;zoom=12#map=12/36.6054/42.6236","Maplink1")</f>
        <v>Maplink1</v>
      </c>
      <c r="AV804" s="20" t="str">
        <f>HYPERLINK("https://www.google.iq/maps/search/+36.6054,42.6236/@36.6054,42.6236,14z?hl=en","Maplink2")</f>
        <v>Maplink2</v>
      </c>
      <c r="AW804" s="20" t="str">
        <f>HYPERLINK("http://www.bing.com/maps/?lvl=14&amp;sty=h&amp;cp=36.6054~42.6236&amp;sp=point.36.6054_42.6236","Maplink3")</f>
        <v>Maplink3</v>
      </c>
    </row>
    <row r="805" spans="1:49" s="19" customFormat="1" x14ac:dyDescent="0.25">
      <c r="A805" s="9">
        <v>17624</v>
      </c>
      <c r="B805" s="10" t="s">
        <v>20</v>
      </c>
      <c r="C805" s="10" t="s">
        <v>1244</v>
      </c>
      <c r="D805" s="10" t="s">
        <v>1252</v>
      </c>
      <c r="E805" s="10" t="s">
        <v>1253</v>
      </c>
      <c r="F805" s="10">
        <v>36.718336000000001</v>
      </c>
      <c r="G805" s="10">
        <v>42.557048000000002</v>
      </c>
      <c r="H805" s="11">
        <v>135</v>
      </c>
      <c r="I805" s="11">
        <v>810</v>
      </c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>
        <v>135</v>
      </c>
      <c r="W805" s="11"/>
      <c r="X805" s="11"/>
      <c r="Y805" s="11"/>
      <c r="Z805" s="11"/>
      <c r="AA805" s="11"/>
      <c r="AB805" s="11"/>
      <c r="AC805" s="11">
        <v>135</v>
      </c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>
        <v>135</v>
      </c>
      <c r="AP805" s="11"/>
      <c r="AQ805" s="11"/>
      <c r="AR805" s="11"/>
      <c r="AS805" s="11"/>
      <c r="AT805" s="11"/>
      <c r="AU805" s="20" t="str">
        <f>HYPERLINK("http://www.openstreetmap.org/?mlat=36.7183&amp;mlon=42.557&amp;zoom=12#map=12/36.7183/42.557","Maplink1")</f>
        <v>Maplink1</v>
      </c>
      <c r="AV805" s="20" t="str">
        <f>HYPERLINK("https://www.google.iq/maps/search/+36.7183,42.557/@36.7183,42.557,14z?hl=en","Maplink2")</f>
        <v>Maplink2</v>
      </c>
      <c r="AW805" s="20" t="str">
        <f>HYPERLINK("http://www.bing.com/maps/?lvl=14&amp;sty=h&amp;cp=36.7183~42.557&amp;sp=point.36.7183_42.557","Maplink3")</f>
        <v>Maplink3</v>
      </c>
    </row>
    <row r="806" spans="1:49" s="19" customFormat="1" x14ac:dyDescent="0.25">
      <c r="A806" s="9">
        <v>22446</v>
      </c>
      <c r="B806" s="10" t="s">
        <v>20</v>
      </c>
      <c r="C806" s="10" t="s">
        <v>1244</v>
      </c>
      <c r="D806" s="10" t="s">
        <v>1254</v>
      </c>
      <c r="E806" s="10" t="s">
        <v>1255</v>
      </c>
      <c r="F806" s="10">
        <v>36.609344219999997</v>
      </c>
      <c r="G806" s="10">
        <v>42.568694710000003</v>
      </c>
      <c r="H806" s="11">
        <v>385</v>
      </c>
      <c r="I806" s="11">
        <v>2310</v>
      </c>
      <c r="J806" s="11"/>
      <c r="K806" s="11"/>
      <c r="L806" s="11"/>
      <c r="M806" s="11"/>
      <c r="N806" s="11">
        <v>385</v>
      </c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>
        <v>375</v>
      </c>
      <c r="AD806" s="11">
        <v>10</v>
      </c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>
        <v>385</v>
      </c>
      <c r="AP806" s="11"/>
      <c r="AQ806" s="11"/>
      <c r="AR806" s="11"/>
      <c r="AS806" s="11"/>
      <c r="AT806" s="11"/>
      <c r="AU806" s="20" t="str">
        <f>HYPERLINK("http://www.openstreetmap.org/?mlat=36.6093&amp;mlon=42.5687&amp;zoom=12#map=12/36.6093/42.5687","Maplink1")</f>
        <v>Maplink1</v>
      </c>
      <c r="AV806" s="20" t="str">
        <f>HYPERLINK("https://www.google.iq/maps/search/+36.6093,42.5687/@36.6093,42.5687,14z?hl=en","Maplink2")</f>
        <v>Maplink2</v>
      </c>
      <c r="AW806" s="20" t="str">
        <f>HYPERLINK("http://www.bing.com/maps/?lvl=14&amp;sty=h&amp;cp=36.6093~42.5687&amp;sp=point.36.6093_42.5687","Maplink3")</f>
        <v>Maplink3</v>
      </c>
    </row>
    <row r="807" spans="1:49" s="19" customFormat="1" x14ac:dyDescent="0.25">
      <c r="A807" s="9">
        <v>33121</v>
      </c>
      <c r="B807" s="10" t="s">
        <v>20</v>
      </c>
      <c r="C807" s="10" t="s">
        <v>1244</v>
      </c>
      <c r="D807" s="10" t="s">
        <v>1637</v>
      </c>
      <c r="E807" s="10" t="s">
        <v>1638</v>
      </c>
      <c r="F807" s="10">
        <v>36.451250999999999</v>
      </c>
      <c r="G807" s="10">
        <v>42.669893999999999</v>
      </c>
      <c r="H807" s="11">
        <v>215</v>
      </c>
      <c r="I807" s="11">
        <v>1290</v>
      </c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>
        <v>215</v>
      </c>
      <c r="W807" s="11"/>
      <c r="X807" s="11"/>
      <c r="Y807" s="11"/>
      <c r="Z807" s="11"/>
      <c r="AA807" s="11"/>
      <c r="AB807" s="11"/>
      <c r="AC807" s="11">
        <v>215</v>
      </c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>
        <v>215</v>
      </c>
      <c r="AU807" s="20" t="str">
        <f>HYPERLINK("http://www.openstreetmap.org/?mlat=36.4513&amp;mlon=42.6699&amp;zoom=12#map=12/36.4513/42.6699","Maplink1")</f>
        <v>Maplink1</v>
      </c>
      <c r="AV807" s="20" t="str">
        <f>HYPERLINK("https://www.google.iq/maps/search/+36.4513,42.6699/@36.4513,42.6699,14z?hl=en","Maplink2")</f>
        <v>Maplink2</v>
      </c>
      <c r="AW807" s="20" t="str">
        <f>HYPERLINK("http://www.bing.com/maps/?lvl=14&amp;sty=h&amp;cp=36.4513~42.6699&amp;sp=point.36.4513_42.6699","Maplink3")</f>
        <v>Maplink3</v>
      </c>
    </row>
    <row r="808" spans="1:49" s="19" customFormat="1" x14ac:dyDescent="0.25">
      <c r="A808" s="9">
        <v>18263</v>
      </c>
      <c r="B808" s="10" t="s">
        <v>20</v>
      </c>
      <c r="C808" s="10" t="s">
        <v>1244</v>
      </c>
      <c r="D808" s="10" t="s">
        <v>1965</v>
      </c>
      <c r="E808" s="10" t="s">
        <v>1966</v>
      </c>
      <c r="F808" s="10">
        <v>36.665999999999997</v>
      </c>
      <c r="G808" s="10">
        <v>42.510100000000001</v>
      </c>
      <c r="H808" s="11">
        <v>120</v>
      </c>
      <c r="I808" s="11">
        <v>720</v>
      </c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>
        <v>120</v>
      </c>
      <c r="W808" s="11"/>
      <c r="X808" s="11"/>
      <c r="Y808" s="11"/>
      <c r="Z808" s="11"/>
      <c r="AA808" s="11"/>
      <c r="AB808" s="11"/>
      <c r="AC808" s="11">
        <v>120</v>
      </c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>
        <v>120</v>
      </c>
      <c r="AP808" s="11"/>
      <c r="AQ808" s="11"/>
      <c r="AR808" s="11"/>
      <c r="AS808" s="11"/>
      <c r="AT808" s="11"/>
      <c r="AU808" s="20" t="str">
        <f>HYPERLINK("http://www.openstreetmap.org/?mlat=36.666&amp;mlon=42.5101&amp;zoom=12#map=12/36.666/42.5101","Maplink1")</f>
        <v>Maplink1</v>
      </c>
      <c r="AV808" s="20" t="str">
        <f>HYPERLINK("https://www.google.iq/maps/search/+36.666,42.5101/@36.666,42.5101,14z?hl=en","Maplink2")</f>
        <v>Maplink2</v>
      </c>
      <c r="AW808" s="20" t="str">
        <f>HYPERLINK("http://www.bing.com/maps/?lvl=14&amp;sty=h&amp;cp=36.666~42.5101&amp;sp=point.36.666_42.5101","Maplink3")</f>
        <v>Maplink3</v>
      </c>
    </row>
    <row r="809" spans="1:49" s="19" customFormat="1" x14ac:dyDescent="0.25">
      <c r="A809" s="9">
        <v>17439</v>
      </c>
      <c r="B809" s="10" t="s">
        <v>20</v>
      </c>
      <c r="C809" s="10" t="s">
        <v>1244</v>
      </c>
      <c r="D809" s="10" t="s">
        <v>1780</v>
      </c>
      <c r="E809" s="10" t="s">
        <v>1781</v>
      </c>
      <c r="F809" s="10">
        <v>36.442366999999997</v>
      </c>
      <c r="G809" s="10">
        <v>42.629674999999999</v>
      </c>
      <c r="H809" s="11">
        <v>68</v>
      </c>
      <c r="I809" s="11">
        <v>408</v>
      </c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>
        <v>68</v>
      </c>
      <c r="W809" s="11"/>
      <c r="X809" s="11"/>
      <c r="Y809" s="11"/>
      <c r="Z809" s="11"/>
      <c r="AA809" s="11"/>
      <c r="AB809" s="11"/>
      <c r="AC809" s="11">
        <v>68</v>
      </c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>
        <v>68</v>
      </c>
      <c r="AU809" s="20" t="str">
        <f>HYPERLINK("http://www.openstreetmap.org/?mlat=36.4424&amp;mlon=42.6297&amp;zoom=12#map=12/36.4424/42.6297","Maplink1")</f>
        <v>Maplink1</v>
      </c>
      <c r="AV809" s="20" t="str">
        <f>HYPERLINK("https://www.google.iq/maps/search/+36.4424,42.6297/@36.4424,42.6297,14z?hl=en","Maplink2")</f>
        <v>Maplink2</v>
      </c>
      <c r="AW809" s="20" t="str">
        <f>HYPERLINK("http://www.bing.com/maps/?lvl=14&amp;sty=h&amp;cp=36.4424~42.6297&amp;sp=point.36.4424_42.6297","Maplink3")</f>
        <v>Maplink3</v>
      </c>
    </row>
    <row r="810" spans="1:49" s="19" customFormat="1" x14ac:dyDescent="0.25">
      <c r="A810" s="9">
        <v>18295</v>
      </c>
      <c r="B810" s="10" t="s">
        <v>20</v>
      </c>
      <c r="C810" s="10" t="s">
        <v>1244</v>
      </c>
      <c r="D810" s="10" t="s">
        <v>1782</v>
      </c>
      <c r="E810" s="10" t="s">
        <v>1783</v>
      </c>
      <c r="F810" s="10">
        <v>36.446522999999999</v>
      </c>
      <c r="G810" s="10">
        <v>42.629399999999997</v>
      </c>
      <c r="H810" s="11">
        <v>120</v>
      </c>
      <c r="I810" s="11">
        <v>720</v>
      </c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>
        <v>120</v>
      </c>
      <c r="W810" s="11"/>
      <c r="X810" s="11"/>
      <c r="Y810" s="11"/>
      <c r="Z810" s="11"/>
      <c r="AA810" s="11"/>
      <c r="AB810" s="11"/>
      <c r="AC810" s="11">
        <v>120</v>
      </c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>
        <v>120</v>
      </c>
      <c r="AU810" s="20" t="str">
        <f>HYPERLINK("http://www.openstreetmap.org/?mlat=36.4465&amp;mlon=42.6294&amp;zoom=12#map=12/36.4465/42.6294","Maplink1")</f>
        <v>Maplink1</v>
      </c>
      <c r="AV810" s="20" t="str">
        <f>HYPERLINK("https://www.google.iq/maps/search/+36.4465,42.6294/@36.4465,42.6294,14z?hl=en","Maplink2")</f>
        <v>Maplink2</v>
      </c>
      <c r="AW810" s="20" t="str">
        <f>HYPERLINK("http://www.bing.com/maps/?lvl=14&amp;sty=h&amp;cp=36.4465~42.6294&amp;sp=point.36.4465_42.6294","Maplink3")</f>
        <v>Maplink3</v>
      </c>
    </row>
    <row r="811" spans="1:49" s="19" customFormat="1" x14ac:dyDescent="0.25">
      <c r="A811" s="9">
        <v>33172</v>
      </c>
      <c r="B811" s="10" t="s">
        <v>20</v>
      </c>
      <c r="C811" s="10" t="s">
        <v>1244</v>
      </c>
      <c r="D811" s="10" t="s">
        <v>1784</v>
      </c>
      <c r="E811" s="10" t="s">
        <v>1785</v>
      </c>
      <c r="F811" s="10">
        <v>36.439692000000001</v>
      </c>
      <c r="G811" s="10">
        <v>42.638246000000002</v>
      </c>
      <c r="H811" s="11">
        <v>60</v>
      </c>
      <c r="I811" s="11">
        <v>360</v>
      </c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>
        <v>60</v>
      </c>
      <c r="W811" s="11"/>
      <c r="X811" s="11"/>
      <c r="Y811" s="11"/>
      <c r="Z811" s="11"/>
      <c r="AA811" s="11"/>
      <c r="AB811" s="11"/>
      <c r="AC811" s="11">
        <v>60</v>
      </c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>
        <v>60</v>
      </c>
      <c r="AU811" s="20" t="str">
        <f>HYPERLINK("http://www.openstreetmap.org/?mlat=36.4397&amp;mlon=42.6382&amp;zoom=12#map=12/36.4397/42.6382","Maplink1")</f>
        <v>Maplink1</v>
      </c>
      <c r="AV811" s="20" t="str">
        <f>HYPERLINK("https://www.google.iq/maps/search/+36.4397,42.6382/@36.4397,42.6382,14z?hl=en","Maplink2")</f>
        <v>Maplink2</v>
      </c>
      <c r="AW811" s="20" t="str">
        <f>HYPERLINK("http://www.bing.com/maps/?lvl=14&amp;sty=h&amp;cp=36.4397~42.6382&amp;sp=point.36.4397_42.6382","Maplink3")</f>
        <v>Maplink3</v>
      </c>
    </row>
    <row r="812" spans="1:49" s="19" customFormat="1" x14ac:dyDescent="0.25">
      <c r="A812" s="9">
        <v>28453</v>
      </c>
      <c r="B812" s="10" t="s">
        <v>20</v>
      </c>
      <c r="C812" s="10" t="s">
        <v>1244</v>
      </c>
      <c r="D812" s="10" t="s">
        <v>1256</v>
      </c>
      <c r="E812" s="10" t="s">
        <v>1257</v>
      </c>
      <c r="F812" s="10">
        <v>36.728188889999998</v>
      </c>
      <c r="G812" s="10">
        <v>42.258451800000003</v>
      </c>
      <c r="H812" s="11">
        <v>240</v>
      </c>
      <c r="I812" s="11">
        <v>1440</v>
      </c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>
        <v>240</v>
      </c>
      <c r="W812" s="11"/>
      <c r="X812" s="11"/>
      <c r="Y812" s="11"/>
      <c r="Z812" s="11"/>
      <c r="AA812" s="11"/>
      <c r="AB812" s="11"/>
      <c r="AC812" s="11">
        <v>240</v>
      </c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>
        <v>240</v>
      </c>
      <c r="AQ812" s="11"/>
      <c r="AR812" s="11"/>
      <c r="AS812" s="11"/>
      <c r="AT812" s="11"/>
      <c r="AU812" s="20" t="str">
        <f>HYPERLINK("http://www.openstreetmap.org/?mlat=36.7282&amp;mlon=42.2585&amp;zoom=12#map=12/36.7282/42.2585","Maplink1")</f>
        <v>Maplink1</v>
      </c>
      <c r="AV812" s="20" t="str">
        <f>HYPERLINK("https://www.google.iq/maps/search/+36.7282,42.2585/@36.7282,42.2585,14z?hl=en","Maplink2")</f>
        <v>Maplink2</v>
      </c>
      <c r="AW812" s="20" t="str">
        <f>HYPERLINK("http://www.bing.com/maps/?lvl=14&amp;sty=h&amp;cp=36.7282~42.2585&amp;sp=point.36.7282_42.2585","Maplink3")</f>
        <v>Maplink3</v>
      </c>
    </row>
    <row r="813" spans="1:49" s="19" customFormat="1" x14ac:dyDescent="0.25">
      <c r="A813" s="9">
        <v>23317</v>
      </c>
      <c r="B813" s="10" t="s">
        <v>20</v>
      </c>
      <c r="C813" s="10" t="s">
        <v>1244</v>
      </c>
      <c r="D813" s="10" t="s">
        <v>1258</v>
      </c>
      <c r="E813" s="10" t="s">
        <v>1259</v>
      </c>
      <c r="F813" s="10">
        <v>36.5124</v>
      </c>
      <c r="G813" s="10">
        <v>42.158499999999997</v>
      </c>
      <c r="H813" s="11">
        <v>30</v>
      </c>
      <c r="I813" s="11">
        <v>180</v>
      </c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>
        <v>30</v>
      </c>
      <c r="W813" s="11"/>
      <c r="X813" s="11"/>
      <c r="Y813" s="11"/>
      <c r="Z813" s="11"/>
      <c r="AA813" s="11"/>
      <c r="AB813" s="11"/>
      <c r="AC813" s="11">
        <v>30</v>
      </c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>
        <v>30</v>
      </c>
      <c r="AP813" s="11"/>
      <c r="AQ813" s="11"/>
      <c r="AR813" s="11"/>
      <c r="AS813" s="11"/>
      <c r="AT813" s="11"/>
      <c r="AU813" s="20" t="str">
        <f>HYPERLINK("http://www.openstreetmap.org/?mlat=36.5124&amp;mlon=42.1585&amp;zoom=12#map=12/36.5124/42.1585","Maplink1")</f>
        <v>Maplink1</v>
      </c>
      <c r="AV813" s="20" t="str">
        <f>HYPERLINK("https://www.google.iq/maps/search/+36.5124,42.1585/@36.5124,42.1585,14z?hl=en","Maplink2")</f>
        <v>Maplink2</v>
      </c>
      <c r="AW813" s="20" t="str">
        <f>HYPERLINK("http://www.bing.com/maps/?lvl=14&amp;sty=h&amp;cp=36.5124~42.1585&amp;sp=point.36.5124_42.1585","Maplink3")</f>
        <v>Maplink3</v>
      </c>
    </row>
    <row r="814" spans="1:49" s="19" customFormat="1" x14ac:dyDescent="0.25">
      <c r="A814" s="9">
        <v>33215</v>
      </c>
      <c r="B814" s="10" t="s">
        <v>20</v>
      </c>
      <c r="C814" s="10" t="s">
        <v>1244</v>
      </c>
      <c r="D814" s="10" t="s">
        <v>1967</v>
      </c>
      <c r="E814" s="10" t="s">
        <v>1968</v>
      </c>
      <c r="F814" s="10">
        <v>36.689500000000002</v>
      </c>
      <c r="G814" s="10">
        <v>42.713200000000001</v>
      </c>
      <c r="H814" s="11">
        <v>350</v>
      </c>
      <c r="I814" s="11">
        <v>2100</v>
      </c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>
        <v>350</v>
      </c>
      <c r="W814" s="11"/>
      <c r="X814" s="11"/>
      <c r="Y814" s="11"/>
      <c r="Z814" s="11"/>
      <c r="AA814" s="11"/>
      <c r="AB814" s="11"/>
      <c r="AC814" s="11">
        <v>350</v>
      </c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>
        <v>350</v>
      </c>
      <c r="AP814" s="11"/>
      <c r="AQ814" s="11"/>
      <c r="AR814" s="11"/>
      <c r="AS814" s="11"/>
      <c r="AT814" s="11"/>
      <c r="AU814" s="20" t="str">
        <f>HYPERLINK("http://www.openstreetmap.org/?mlat=36.6895&amp;mlon=42.7132&amp;zoom=12#map=12/36.6895/42.7132","Maplink1")</f>
        <v>Maplink1</v>
      </c>
      <c r="AV814" s="20" t="str">
        <f>HYPERLINK("https://www.google.iq/maps/search/+36.6895,42.7132/@36.6895,42.7132,14z?hl=en","Maplink2")</f>
        <v>Maplink2</v>
      </c>
      <c r="AW814" s="20" t="str">
        <f>HYPERLINK("http://www.bing.com/maps/?lvl=14&amp;sty=h&amp;cp=36.6895~42.7132&amp;sp=point.36.6895_42.7132","Maplink3")</f>
        <v>Maplink3</v>
      </c>
    </row>
    <row r="815" spans="1:49" s="19" customFormat="1" x14ac:dyDescent="0.25">
      <c r="A815" s="9">
        <v>17654</v>
      </c>
      <c r="B815" s="10" t="s">
        <v>20</v>
      </c>
      <c r="C815" s="10" t="s">
        <v>1244</v>
      </c>
      <c r="D815" s="10" t="s">
        <v>1639</v>
      </c>
      <c r="E815" s="10" t="s">
        <v>1640</v>
      </c>
      <c r="F815" s="10">
        <v>36.642982940000003</v>
      </c>
      <c r="G815" s="10">
        <v>42.444079420000001</v>
      </c>
      <c r="H815" s="11">
        <v>300</v>
      </c>
      <c r="I815" s="11">
        <v>1800</v>
      </c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>
        <v>300</v>
      </c>
      <c r="W815" s="11"/>
      <c r="X815" s="11"/>
      <c r="Y815" s="11"/>
      <c r="Z815" s="11"/>
      <c r="AA815" s="11"/>
      <c r="AB815" s="11"/>
      <c r="AC815" s="11">
        <v>300</v>
      </c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>
        <v>300</v>
      </c>
      <c r="AQ815" s="11"/>
      <c r="AR815" s="11"/>
      <c r="AS815" s="11"/>
      <c r="AT815" s="11"/>
      <c r="AU815" s="20" t="str">
        <f>HYPERLINK("http://www.openstreetmap.org/?mlat=36.643&amp;mlon=42.4441&amp;zoom=12#map=12/36.643/42.4441","Maplink1")</f>
        <v>Maplink1</v>
      </c>
      <c r="AV815" s="20" t="str">
        <f>HYPERLINK("https://www.google.iq/maps/search/+36.643,42.4441/@36.643,42.4441,14z?hl=en","Maplink2")</f>
        <v>Maplink2</v>
      </c>
      <c r="AW815" s="20" t="str">
        <f>HYPERLINK("http://www.bing.com/maps/?lvl=14&amp;sty=h&amp;cp=36.643~42.4441&amp;sp=point.36.643_42.4441","Maplink3")</f>
        <v>Maplink3</v>
      </c>
    </row>
    <row r="816" spans="1:49" s="19" customFormat="1" x14ac:dyDescent="0.25">
      <c r="A816" s="9">
        <v>17433</v>
      </c>
      <c r="B816" s="10" t="s">
        <v>20</v>
      </c>
      <c r="C816" s="10" t="s">
        <v>1244</v>
      </c>
      <c r="D816" s="10" t="s">
        <v>1641</v>
      </c>
      <c r="E816" s="10" t="s">
        <v>1642</v>
      </c>
      <c r="F816" s="10">
        <v>36.447043000000001</v>
      </c>
      <c r="G816" s="10">
        <v>42.662489000000001</v>
      </c>
      <c r="H816" s="11">
        <v>120</v>
      </c>
      <c r="I816" s="11">
        <v>720</v>
      </c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>
        <v>120</v>
      </c>
      <c r="W816" s="11"/>
      <c r="X816" s="11"/>
      <c r="Y816" s="11"/>
      <c r="Z816" s="11"/>
      <c r="AA816" s="11"/>
      <c r="AB816" s="11"/>
      <c r="AC816" s="11">
        <v>120</v>
      </c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>
        <v>120</v>
      </c>
      <c r="AU816" s="20" t="str">
        <f>HYPERLINK("http://www.openstreetmap.org/?mlat=36.447&amp;mlon=42.6625&amp;zoom=12#map=12/36.447/42.6625","Maplink1")</f>
        <v>Maplink1</v>
      </c>
      <c r="AV816" s="20" t="str">
        <f>HYPERLINK("https://www.google.iq/maps/search/+36.447,42.6625/@36.447,42.6625,14z?hl=en","Maplink2")</f>
        <v>Maplink2</v>
      </c>
      <c r="AW816" s="20" t="str">
        <f>HYPERLINK("http://www.bing.com/maps/?lvl=14&amp;sty=h&amp;cp=36.447~42.6625&amp;sp=point.36.447_42.6625","Maplink3")</f>
        <v>Maplink3</v>
      </c>
    </row>
    <row r="817" spans="1:49" s="19" customFormat="1" x14ac:dyDescent="0.25">
      <c r="A817" s="9">
        <v>17623</v>
      </c>
      <c r="B817" s="10" t="s">
        <v>20</v>
      </c>
      <c r="C817" s="10" t="s">
        <v>1244</v>
      </c>
      <c r="D817" s="10" t="s">
        <v>1969</v>
      </c>
      <c r="E817" s="10" t="s">
        <v>1970</v>
      </c>
      <c r="F817" s="10">
        <v>36.769399999999997</v>
      </c>
      <c r="G817" s="10">
        <v>42.548999999999999</v>
      </c>
      <c r="H817" s="11">
        <v>50</v>
      </c>
      <c r="I817" s="11">
        <v>300</v>
      </c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>
        <v>50</v>
      </c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>
        <v>50</v>
      </c>
      <c r="AL817" s="11"/>
      <c r="AM817" s="11"/>
      <c r="AN817" s="11"/>
      <c r="AO817" s="11">
        <v>50</v>
      </c>
      <c r="AP817" s="11"/>
      <c r="AQ817" s="11"/>
      <c r="AR817" s="11"/>
      <c r="AS817" s="11"/>
      <c r="AT817" s="11"/>
      <c r="AU817" s="20" t="str">
        <f>HYPERLINK("http://www.openstreetmap.org/?mlat=36.7694&amp;mlon=42.549&amp;zoom=12#map=12/36.7694/42.549","Maplink1")</f>
        <v>Maplink1</v>
      </c>
      <c r="AV817" s="20" t="str">
        <f>HYPERLINK("https://www.google.iq/maps/search/+36.7694,42.549/@36.7694,42.549,14z?hl=en","Maplink2")</f>
        <v>Maplink2</v>
      </c>
      <c r="AW817" s="20" t="str">
        <f>HYPERLINK("http://www.bing.com/maps/?lvl=14&amp;sty=h&amp;cp=36.7694~42.549&amp;sp=point.36.7694_42.549","Maplink3")</f>
        <v>Maplink3</v>
      </c>
    </row>
    <row r="818" spans="1:49" s="19" customFormat="1" x14ac:dyDescent="0.25">
      <c r="A818" s="9">
        <v>28440</v>
      </c>
      <c r="B818" s="10" t="s">
        <v>20</v>
      </c>
      <c r="C818" s="10" t="s">
        <v>1244</v>
      </c>
      <c r="D818" s="10" t="s">
        <v>1971</v>
      </c>
      <c r="E818" s="10" t="s">
        <v>1260</v>
      </c>
      <c r="F818" s="10">
        <v>36.793997050000002</v>
      </c>
      <c r="G818" s="10">
        <v>42.214455559999998</v>
      </c>
      <c r="H818" s="11">
        <v>88</v>
      </c>
      <c r="I818" s="11">
        <v>528</v>
      </c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>
        <v>88</v>
      </c>
      <c r="W818" s="11"/>
      <c r="X818" s="11"/>
      <c r="Y818" s="11"/>
      <c r="Z818" s="11"/>
      <c r="AA818" s="11"/>
      <c r="AB818" s="11"/>
      <c r="AC818" s="11">
        <v>88</v>
      </c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>
        <v>88</v>
      </c>
      <c r="AQ818" s="11"/>
      <c r="AR818" s="11"/>
      <c r="AS818" s="11"/>
      <c r="AT818" s="11"/>
      <c r="AU818" s="20" t="str">
        <f>HYPERLINK("http://www.openstreetmap.org/?mlat=36.794&amp;mlon=42.2145&amp;zoom=12#map=12/36.794/42.2145","Maplink1")</f>
        <v>Maplink1</v>
      </c>
      <c r="AV818" s="20" t="str">
        <f>HYPERLINK("https://www.google.iq/maps/search/+36.794,42.2145/@36.794,42.2145,14z?hl=en","Maplink2")</f>
        <v>Maplink2</v>
      </c>
      <c r="AW818" s="20" t="str">
        <f>HYPERLINK("http://www.bing.com/maps/?lvl=14&amp;sty=h&amp;cp=36.794~42.2145&amp;sp=point.36.794_42.2145","Maplink3")</f>
        <v>Maplink3</v>
      </c>
    </row>
    <row r="819" spans="1:49" s="19" customFormat="1" x14ac:dyDescent="0.25">
      <c r="A819" s="9">
        <v>18034</v>
      </c>
      <c r="B819" s="10" t="s">
        <v>20</v>
      </c>
      <c r="C819" s="10" t="s">
        <v>1244</v>
      </c>
      <c r="D819" s="10" t="s">
        <v>1972</v>
      </c>
      <c r="E819" s="10" t="s">
        <v>1973</v>
      </c>
      <c r="F819" s="10">
        <v>36.686100000000003</v>
      </c>
      <c r="G819" s="10">
        <v>42.460799999999999</v>
      </c>
      <c r="H819" s="11">
        <v>250</v>
      </c>
      <c r="I819" s="11">
        <v>1500</v>
      </c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>
        <v>250</v>
      </c>
      <c r="W819" s="11"/>
      <c r="X819" s="11"/>
      <c r="Y819" s="11"/>
      <c r="Z819" s="11"/>
      <c r="AA819" s="11"/>
      <c r="AB819" s="11"/>
      <c r="AC819" s="11">
        <v>200</v>
      </c>
      <c r="AD819" s="11"/>
      <c r="AE819" s="11"/>
      <c r="AF819" s="11"/>
      <c r="AG819" s="11"/>
      <c r="AH819" s="11"/>
      <c r="AI819" s="11"/>
      <c r="AJ819" s="11"/>
      <c r="AK819" s="11">
        <v>50</v>
      </c>
      <c r="AL819" s="11"/>
      <c r="AM819" s="11"/>
      <c r="AN819" s="11"/>
      <c r="AO819" s="11">
        <v>250</v>
      </c>
      <c r="AP819" s="11"/>
      <c r="AQ819" s="11"/>
      <c r="AR819" s="11"/>
      <c r="AS819" s="11"/>
      <c r="AT819" s="11"/>
      <c r="AU819" s="20" t="str">
        <f>HYPERLINK("http://www.openstreetmap.org/?mlat=36.6861&amp;mlon=42.4608&amp;zoom=12#map=12/36.6861/42.4608","Maplink1")</f>
        <v>Maplink1</v>
      </c>
      <c r="AV819" s="20" t="str">
        <f>HYPERLINK("https://www.google.iq/maps/search/+36.6861,42.4608/@36.6861,42.4608,14z?hl=en","Maplink2")</f>
        <v>Maplink2</v>
      </c>
      <c r="AW819" s="20" t="str">
        <f>HYPERLINK("http://www.bing.com/maps/?lvl=14&amp;sty=h&amp;cp=36.6861~42.4608&amp;sp=point.36.6861_42.4608","Maplink3")</f>
        <v>Maplink3</v>
      </c>
    </row>
    <row r="820" spans="1:49" s="19" customFormat="1" x14ac:dyDescent="0.25">
      <c r="A820" s="9">
        <v>25809</v>
      </c>
      <c r="B820" s="10" t="s">
        <v>20</v>
      </c>
      <c r="C820" s="10" t="s">
        <v>1244</v>
      </c>
      <c r="D820" s="10" t="s">
        <v>1261</v>
      </c>
      <c r="E820" s="10" t="s">
        <v>1262</v>
      </c>
      <c r="F820" s="10">
        <v>36.70944532</v>
      </c>
      <c r="G820" s="10">
        <v>42.618708040000001</v>
      </c>
      <c r="H820" s="11">
        <v>505</v>
      </c>
      <c r="I820" s="11">
        <v>3030</v>
      </c>
      <c r="J820" s="11"/>
      <c r="K820" s="11"/>
      <c r="L820" s="11"/>
      <c r="M820" s="11"/>
      <c r="N820" s="11">
        <v>225</v>
      </c>
      <c r="O820" s="11"/>
      <c r="P820" s="11"/>
      <c r="Q820" s="11"/>
      <c r="R820" s="11"/>
      <c r="S820" s="11"/>
      <c r="T820" s="11"/>
      <c r="U820" s="11"/>
      <c r="V820" s="11">
        <v>280</v>
      </c>
      <c r="W820" s="11"/>
      <c r="X820" s="11"/>
      <c r="Y820" s="11"/>
      <c r="Z820" s="11"/>
      <c r="AA820" s="11"/>
      <c r="AB820" s="11"/>
      <c r="AC820" s="11">
        <v>504</v>
      </c>
      <c r="AD820" s="11"/>
      <c r="AE820" s="11"/>
      <c r="AF820" s="11"/>
      <c r="AG820" s="11"/>
      <c r="AH820" s="11"/>
      <c r="AI820" s="11">
        <v>1</v>
      </c>
      <c r="AJ820" s="11"/>
      <c r="AK820" s="11"/>
      <c r="AL820" s="11"/>
      <c r="AM820" s="11"/>
      <c r="AN820" s="11"/>
      <c r="AO820" s="11">
        <v>505</v>
      </c>
      <c r="AP820" s="11"/>
      <c r="AQ820" s="11"/>
      <c r="AR820" s="11"/>
      <c r="AS820" s="11"/>
      <c r="AT820" s="11"/>
      <c r="AU820" s="20" t="str">
        <f>HYPERLINK("http://www.openstreetmap.org/?mlat=36.7094&amp;mlon=42.6187&amp;zoom=12#map=12/36.7094/42.6187","Maplink1")</f>
        <v>Maplink1</v>
      </c>
      <c r="AV820" s="20" t="str">
        <f>HYPERLINK("https://www.google.iq/maps/search/+36.7094,42.6187/@36.7094,42.6187,14z?hl=en","Maplink2")</f>
        <v>Maplink2</v>
      </c>
      <c r="AW820" s="20" t="str">
        <f>HYPERLINK("http://www.bing.com/maps/?lvl=14&amp;sty=h&amp;cp=36.7094~42.6187&amp;sp=point.36.7094_42.6187","Maplink3")</f>
        <v>Maplink3</v>
      </c>
    </row>
    <row r="821" spans="1:49" s="19" customFormat="1" x14ac:dyDescent="0.25">
      <c r="A821" s="9">
        <v>17625</v>
      </c>
      <c r="B821" s="10" t="s">
        <v>20</v>
      </c>
      <c r="C821" s="10" t="s">
        <v>1244</v>
      </c>
      <c r="D821" s="10" t="s">
        <v>1974</v>
      </c>
      <c r="E821" s="10" t="s">
        <v>1975</v>
      </c>
      <c r="F821" s="10">
        <v>36.7393</v>
      </c>
      <c r="G821" s="10">
        <v>42.5366</v>
      </c>
      <c r="H821" s="11">
        <v>220</v>
      </c>
      <c r="I821" s="11">
        <v>1320</v>
      </c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>
        <v>220</v>
      </c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>
        <v>220</v>
      </c>
      <c r="AL821" s="11"/>
      <c r="AM821" s="11"/>
      <c r="AN821" s="11"/>
      <c r="AO821" s="11">
        <v>220</v>
      </c>
      <c r="AP821" s="11"/>
      <c r="AQ821" s="11"/>
      <c r="AR821" s="11"/>
      <c r="AS821" s="11"/>
      <c r="AT821" s="11"/>
      <c r="AU821" s="20" t="str">
        <f>HYPERLINK("http://www.openstreetmap.org/?mlat=36.7393&amp;mlon=42.5366&amp;zoom=12#map=12/36.7393/42.5366","Maplink1")</f>
        <v>Maplink1</v>
      </c>
      <c r="AV821" s="20" t="str">
        <f>HYPERLINK("https://www.google.iq/maps/search/+36.7393,42.5366/@36.7393,42.5366,14z?hl=en","Maplink2")</f>
        <v>Maplink2</v>
      </c>
      <c r="AW821" s="20" t="str">
        <f>HYPERLINK("http://www.bing.com/maps/?lvl=14&amp;sty=h&amp;cp=36.7393~42.5366&amp;sp=point.36.7393_42.5366","Maplink3")</f>
        <v>Maplink3</v>
      </c>
    </row>
    <row r="822" spans="1:49" s="19" customFormat="1" x14ac:dyDescent="0.25">
      <c r="A822" s="9">
        <v>17573</v>
      </c>
      <c r="B822" s="10" t="s">
        <v>20</v>
      </c>
      <c r="C822" s="10" t="s">
        <v>1244</v>
      </c>
      <c r="D822" s="10" t="s">
        <v>1976</v>
      </c>
      <c r="E822" s="10" t="s">
        <v>1977</v>
      </c>
      <c r="F822" s="10">
        <v>36.592300000000002</v>
      </c>
      <c r="G822" s="10">
        <v>42.706099999999999</v>
      </c>
      <c r="H822" s="11">
        <v>70</v>
      </c>
      <c r="I822" s="11">
        <v>420</v>
      </c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>
        <v>70</v>
      </c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>
        <v>70</v>
      </c>
      <c r="AL822" s="11"/>
      <c r="AM822" s="11"/>
      <c r="AN822" s="11"/>
      <c r="AO822" s="11">
        <v>70</v>
      </c>
      <c r="AP822" s="11"/>
      <c r="AQ822" s="11"/>
      <c r="AR822" s="11"/>
      <c r="AS822" s="11"/>
      <c r="AT822" s="11"/>
      <c r="AU822" s="20" t="str">
        <f>HYPERLINK("http://www.openstreetmap.org/?mlat=36.5923&amp;mlon=42.7061&amp;zoom=12#map=12/36.5923/42.7061","Maplink1")</f>
        <v>Maplink1</v>
      </c>
      <c r="AV822" s="20" t="str">
        <f>HYPERLINK("https://www.google.iq/maps/search/+36.5923,42.7061/@36.5923,42.7061,14z?hl=en","Maplink2")</f>
        <v>Maplink2</v>
      </c>
      <c r="AW822" s="20" t="str">
        <f>HYPERLINK("http://www.bing.com/maps/?lvl=14&amp;sty=h&amp;cp=36.5923~42.7061&amp;sp=point.36.5923_42.7061","Maplink3")</f>
        <v>Maplink3</v>
      </c>
    </row>
    <row r="823" spans="1:49" s="19" customFormat="1" x14ac:dyDescent="0.25">
      <c r="A823" s="9">
        <v>24906</v>
      </c>
      <c r="B823" s="10" t="s">
        <v>20</v>
      </c>
      <c r="C823" s="10" t="s">
        <v>1244</v>
      </c>
      <c r="D823" s="10" t="s">
        <v>1263</v>
      </c>
      <c r="E823" s="10" t="s">
        <v>1264</v>
      </c>
      <c r="F823" s="10">
        <v>36.595396350000001</v>
      </c>
      <c r="G823" s="10">
        <v>42.61828182</v>
      </c>
      <c r="H823" s="11">
        <v>122</v>
      </c>
      <c r="I823" s="11">
        <v>732</v>
      </c>
      <c r="J823" s="11"/>
      <c r="K823" s="11"/>
      <c r="L823" s="11"/>
      <c r="M823" s="11"/>
      <c r="N823" s="11">
        <v>122</v>
      </c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>
        <v>117</v>
      </c>
      <c r="AD823" s="11">
        <v>5</v>
      </c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>
        <v>122</v>
      </c>
      <c r="AP823" s="11"/>
      <c r="AQ823" s="11"/>
      <c r="AR823" s="11"/>
      <c r="AS823" s="11"/>
      <c r="AT823" s="11"/>
      <c r="AU823" s="20" t="str">
        <f>HYPERLINK("http://www.openstreetmap.org/?mlat=36.5954&amp;mlon=42.6183&amp;zoom=12#map=12/36.5954/42.6183","Maplink1")</f>
        <v>Maplink1</v>
      </c>
      <c r="AV823" s="20" t="str">
        <f>HYPERLINK("https://www.google.iq/maps/search/+36.5954,42.6183/@36.5954,42.6183,14z?hl=en","Maplink2")</f>
        <v>Maplink2</v>
      </c>
      <c r="AW823" s="20" t="str">
        <f>HYPERLINK("http://www.bing.com/maps/?lvl=14&amp;sty=h&amp;cp=36.5954~42.6183&amp;sp=point.36.5954_42.6183","Maplink3")</f>
        <v>Maplink3</v>
      </c>
    </row>
    <row r="824" spans="1:49" s="19" customFormat="1" x14ac:dyDescent="0.25">
      <c r="A824" s="9">
        <v>25690</v>
      </c>
      <c r="B824" s="10" t="s">
        <v>20</v>
      </c>
      <c r="C824" s="10" t="s">
        <v>1244</v>
      </c>
      <c r="D824" s="10" t="s">
        <v>1265</v>
      </c>
      <c r="E824" s="10" t="s">
        <v>1266</v>
      </c>
      <c r="F824" s="10">
        <v>36.600946389999997</v>
      </c>
      <c r="G824" s="10">
        <v>42.643235320000002</v>
      </c>
      <c r="H824" s="11">
        <v>125</v>
      </c>
      <c r="I824" s="11">
        <v>750</v>
      </c>
      <c r="J824" s="11"/>
      <c r="K824" s="11"/>
      <c r="L824" s="11"/>
      <c r="M824" s="11"/>
      <c r="N824" s="11">
        <v>125</v>
      </c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>
        <v>125</v>
      </c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>
        <v>125</v>
      </c>
      <c r="AP824" s="11"/>
      <c r="AQ824" s="11"/>
      <c r="AR824" s="11"/>
      <c r="AS824" s="11"/>
      <c r="AT824" s="11"/>
      <c r="AU824" s="20" t="str">
        <f>HYPERLINK("http://www.openstreetmap.org/?mlat=36.6009&amp;mlon=42.6432&amp;zoom=12#map=12/36.6009/42.6432","Maplink1")</f>
        <v>Maplink1</v>
      </c>
      <c r="AV824" s="20" t="str">
        <f>HYPERLINK("https://www.google.iq/maps/search/+36.6009,42.6432/@36.6009,42.6432,14z?hl=en","Maplink2")</f>
        <v>Maplink2</v>
      </c>
      <c r="AW824" s="20" t="str">
        <f>HYPERLINK("http://www.bing.com/maps/?lvl=14&amp;sty=h&amp;cp=36.6009~42.6432&amp;sp=point.36.6009_42.6432","Maplink3")</f>
        <v>Maplink3</v>
      </c>
    </row>
    <row r="825" spans="1:49" s="19" customFormat="1" x14ac:dyDescent="0.25">
      <c r="A825" s="9">
        <v>28450</v>
      </c>
      <c r="B825" s="10" t="s">
        <v>20</v>
      </c>
      <c r="C825" s="10" t="s">
        <v>1244</v>
      </c>
      <c r="D825" s="10" t="s">
        <v>1267</v>
      </c>
      <c r="E825" s="10" t="s">
        <v>1268</v>
      </c>
      <c r="F825" s="10">
        <v>36.679831201399999</v>
      </c>
      <c r="G825" s="10">
        <v>42.393061208100001</v>
      </c>
      <c r="H825" s="11">
        <v>1500</v>
      </c>
      <c r="I825" s="11">
        <v>9000</v>
      </c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>
        <v>1500</v>
      </c>
      <c r="W825" s="11"/>
      <c r="X825" s="11"/>
      <c r="Y825" s="11"/>
      <c r="Z825" s="11"/>
      <c r="AA825" s="11"/>
      <c r="AB825" s="11"/>
      <c r="AC825" s="11">
        <v>1500</v>
      </c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>
        <v>1500</v>
      </c>
      <c r="AP825" s="11"/>
      <c r="AQ825" s="11"/>
      <c r="AR825" s="11"/>
      <c r="AS825" s="11"/>
      <c r="AT825" s="11"/>
      <c r="AU825" s="20" t="str">
        <f>HYPERLINK("http://www.openstreetmap.org/?mlat=36.6798&amp;mlon=42.3931&amp;zoom=12#map=12/36.6798/42.3931","Maplink1")</f>
        <v>Maplink1</v>
      </c>
      <c r="AV825" s="20" t="str">
        <f>HYPERLINK("https://www.google.iq/maps/search/+36.6798,42.3931/@36.6798,42.3931,14z?hl=en","Maplink2")</f>
        <v>Maplink2</v>
      </c>
      <c r="AW825" s="20" t="str">
        <f>HYPERLINK("http://www.bing.com/maps/?lvl=14&amp;sty=h&amp;cp=36.6798~42.3931&amp;sp=point.36.6798_42.3931","Maplink3")</f>
        <v>Maplink3</v>
      </c>
    </row>
    <row r="826" spans="1:49" s="19" customFormat="1" x14ac:dyDescent="0.25">
      <c r="A826" s="9">
        <v>17621</v>
      </c>
      <c r="B826" s="10" t="s">
        <v>20</v>
      </c>
      <c r="C826" s="10" t="s">
        <v>1244</v>
      </c>
      <c r="D826" s="10" t="s">
        <v>1269</v>
      </c>
      <c r="E826" s="10" t="s">
        <v>1270</v>
      </c>
      <c r="F826" s="10">
        <v>36.584802269999997</v>
      </c>
      <c r="G826" s="10">
        <v>42.485178560000001</v>
      </c>
      <c r="H826" s="11">
        <v>140</v>
      </c>
      <c r="I826" s="11">
        <v>840</v>
      </c>
      <c r="J826" s="11"/>
      <c r="K826" s="11"/>
      <c r="L826" s="11"/>
      <c r="M826" s="11"/>
      <c r="N826" s="11">
        <v>130</v>
      </c>
      <c r="O826" s="11"/>
      <c r="P826" s="11"/>
      <c r="Q826" s="11"/>
      <c r="R826" s="11"/>
      <c r="S826" s="11"/>
      <c r="T826" s="11"/>
      <c r="U826" s="11"/>
      <c r="V826" s="11">
        <v>10</v>
      </c>
      <c r="W826" s="11"/>
      <c r="X826" s="11"/>
      <c r="Y826" s="11"/>
      <c r="Z826" s="11"/>
      <c r="AA826" s="11"/>
      <c r="AB826" s="11"/>
      <c r="AC826" s="11">
        <v>140</v>
      </c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>
        <v>140</v>
      </c>
      <c r="AP826" s="11"/>
      <c r="AQ826" s="11"/>
      <c r="AR826" s="11"/>
      <c r="AS826" s="11"/>
      <c r="AT826" s="11"/>
      <c r="AU826" s="20" t="str">
        <f>HYPERLINK("http://www.openstreetmap.org/?mlat=36.5848&amp;mlon=42.4852&amp;zoom=12#map=12/36.5848/42.4852","Maplink1")</f>
        <v>Maplink1</v>
      </c>
      <c r="AV826" s="20" t="str">
        <f>HYPERLINK("https://www.google.iq/maps/search/+36.5848,42.4852/@36.5848,42.4852,14z?hl=en","Maplink2")</f>
        <v>Maplink2</v>
      </c>
      <c r="AW826" s="20" t="str">
        <f>HYPERLINK("http://www.bing.com/maps/?lvl=14&amp;sty=h&amp;cp=36.5848~42.4852&amp;sp=point.36.5848_42.4852","Maplink3")</f>
        <v>Maplink3</v>
      </c>
    </row>
    <row r="827" spans="1:49" s="19" customFormat="1" x14ac:dyDescent="0.25">
      <c r="A827" s="9">
        <v>17620</v>
      </c>
      <c r="B827" s="10" t="s">
        <v>20</v>
      </c>
      <c r="C827" s="10" t="s">
        <v>1244</v>
      </c>
      <c r="D827" s="10" t="s">
        <v>1978</v>
      </c>
      <c r="E827" s="10" t="s">
        <v>1979</v>
      </c>
      <c r="F827" s="10">
        <v>36.719499999999996</v>
      </c>
      <c r="G827" s="10">
        <v>42.529200000000003</v>
      </c>
      <c r="H827" s="11">
        <v>75</v>
      </c>
      <c r="I827" s="11">
        <v>450</v>
      </c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>
        <v>75</v>
      </c>
      <c r="W827" s="11"/>
      <c r="X827" s="11"/>
      <c r="Y827" s="11"/>
      <c r="Z827" s="11"/>
      <c r="AA827" s="11"/>
      <c r="AB827" s="11"/>
      <c r="AC827" s="11">
        <v>75</v>
      </c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>
        <v>75</v>
      </c>
      <c r="AP827" s="11"/>
      <c r="AQ827" s="11"/>
      <c r="AR827" s="11"/>
      <c r="AS827" s="11"/>
      <c r="AT827" s="11"/>
      <c r="AU827" s="20" t="str">
        <f>HYPERLINK("http://www.openstreetmap.org/?mlat=36.7195&amp;mlon=42.5292&amp;zoom=12#map=12/36.7195/42.5292","Maplink1")</f>
        <v>Maplink1</v>
      </c>
      <c r="AV827" s="20" t="str">
        <f>HYPERLINK("https://www.google.iq/maps/search/+36.7195,42.5292/@36.7195,42.5292,14z?hl=en","Maplink2")</f>
        <v>Maplink2</v>
      </c>
      <c r="AW827" s="20" t="str">
        <f>HYPERLINK("http://www.bing.com/maps/?lvl=14&amp;sty=h&amp;cp=36.7195~42.5292&amp;sp=point.36.7195_42.5292","Maplink3")</f>
        <v>Maplink3</v>
      </c>
    </row>
    <row r="828" spans="1:49" s="19" customFormat="1" x14ac:dyDescent="0.25">
      <c r="A828" s="9">
        <v>33213</v>
      </c>
      <c r="B828" s="10" t="s">
        <v>20</v>
      </c>
      <c r="C828" s="10" t="s">
        <v>1244</v>
      </c>
      <c r="D828" s="10" t="s">
        <v>1980</v>
      </c>
      <c r="E828" s="10" t="s">
        <v>1981</v>
      </c>
      <c r="F828" s="10">
        <v>36.690219999999997</v>
      </c>
      <c r="G828" s="10">
        <v>42.683210000000003</v>
      </c>
      <c r="H828" s="11">
        <v>40</v>
      </c>
      <c r="I828" s="11">
        <v>240</v>
      </c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>
        <v>40</v>
      </c>
      <c r="W828" s="11"/>
      <c r="X828" s="11"/>
      <c r="Y828" s="11"/>
      <c r="Z828" s="11"/>
      <c r="AA828" s="11"/>
      <c r="AB828" s="11"/>
      <c r="AC828" s="11">
        <v>40</v>
      </c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>
        <v>40</v>
      </c>
      <c r="AP828" s="11"/>
      <c r="AQ828" s="11"/>
      <c r="AR828" s="11"/>
      <c r="AS828" s="11"/>
      <c r="AT828" s="11"/>
      <c r="AU828" s="20" t="str">
        <f>HYPERLINK("http://www.openstreetmap.org/?mlat=36.6902&amp;mlon=42.6832&amp;zoom=12#map=12/36.6902/42.6832","Maplink1")</f>
        <v>Maplink1</v>
      </c>
      <c r="AV828" s="20" t="str">
        <f>HYPERLINK("https://www.google.iq/maps/search/+36.6902,42.6832/@36.6902,42.6832,14z?hl=en","Maplink2")</f>
        <v>Maplink2</v>
      </c>
      <c r="AW828" s="20" t="str">
        <f>HYPERLINK("http://www.bing.com/maps/?lvl=14&amp;sty=h&amp;cp=36.6902~42.6832&amp;sp=point.36.6902_42.6832","Maplink3")</f>
        <v>Maplink3</v>
      </c>
    </row>
    <row r="829" spans="1:49" s="19" customFormat="1" x14ac:dyDescent="0.25">
      <c r="A829" s="9">
        <v>25691</v>
      </c>
      <c r="B829" s="10" t="s">
        <v>20</v>
      </c>
      <c r="C829" s="10" t="s">
        <v>1244</v>
      </c>
      <c r="D829" s="10" t="s">
        <v>1271</v>
      </c>
      <c r="E829" s="10" t="s">
        <v>1272</v>
      </c>
      <c r="F829" s="10">
        <v>36.545873</v>
      </c>
      <c r="G829" s="10">
        <v>42.445433999999999</v>
      </c>
      <c r="H829" s="11">
        <v>25</v>
      </c>
      <c r="I829" s="11">
        <v>150</v>
      </c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>
        <v>25</v>
      </c>
      <c r="W829" s="11"/>
      <c r="X829" s="11"/>
      <c r="Y829" s="11"/>
      <c r="Z829" s="11"/>
      <c r="AA829" s="11"/>
      <c r="AB829" s="11"/>
      <c r="AC829" s="11">
        <v>25</v>
      </c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>
        <v>20</v>
      </c>
      <c r="AR829" s="11">
        <v>5</v>
      </c>
      <c r="AS829" s="11"/>
      <c r="AT829" s="11"/>
      <c r="AU829" s="20" t="str">
        <f>HYPERLINK("http://www.openstreetmap.org/?mlat=36.5459&amp;mlon=42.4454&amp;zoom=12#map=12/36.5459/42.4454","Maplink1")</f>
        <v>Maplink1</v>
      </c>
      <c r="AV829" s="20" t="str">
        <f>HYPERLINK("https://www.google.iq/maps/search/+36.5459,42.4454/@36.5459,42.4454,14z?hl=en","Maplink2")</f>
        <v>Maplink2</v>
      </c>
      <c r="AW829" s="20" t="str">
        <f>HYPERLINK("http://www.bing.com/maps/?lvl=14&amp;sty=h&amp;cp=36.5459~42.4454&amp;sp=point.36.5459_42.4454","Maplink3")</f>
        <v>Maplink3</v>
      </c>
    </row>
    <row r="830" spans="1:49" s="19" customFormat="1" x14ac:dyDescent="0.25">
      <c r="A830" s="9">
        <v>25686</v>
      </c>
      <c r="B830" s="10" t="s">
        <v>20</v>
      </c>
      <c r="C830" s="10" t="s">
        <v>1244</v>
      </c>
      <c r="D830" s="10" t="s">
        <v>1273</v>
      </c>
      <c r="E830" s="10" t="s">
        <v>1274</v>
      </c>
      <c r="F830" s="10">
        <v>36.805915579999997</v>
      </c>
      <c r="G830" s="10">
        <v>42.08635511</v>
      </c>
      <c r="H830" s="11">
        <v>162</v>
      </c>
      <c r="I830" s="11">
        <v>972</v>
      </c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>
        <v>162</v>
      </c>
      <c r="W830" s="11"/>
      <c r="X830" s="11"/>
      <c r="Y830" s="11"/>
      <c r="Z830" s="11"/>
      <c r="AA830" s="11"/>
      <c r="AB830" s="11"/>
      <c r="AC830" s="11">
        <v>162</v>
      </c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>
        <v>162</v>
      </c>
      <c r="AP830" s="11"/>
      <c r="AQ830" s="11"/>
      <c r="AR830" s="11"/>
      <c r="AS830" s="11"/>
      <c r="AT830" s="11"/>
      <c r="AU830" s="20" t="str">
        <f>HYPERLINK("http://www.openstreetmap.org/?mlat=36.8059&amp;mlon=42.0864&amp;zoom=12#map=12/36.8059/42.0864","Maplink1")</f>
        <v>Maplink1</v>
      </c>
      <c r="AV830" s="20" t="str">
        <f>HYPERLINK("https://www.google.iq/maps/search/+36.8059,42.0864/@36.8059,42.0864,14z?hl=en","Maplink2")</f>
        <v>Maplink2</v>
      </c>
      <c r="AW830" s="20" t="str">
        <f>HYPERLINK("http://www.bing.com/maps/?lvl=14&amp;sty=h&amp;cp=36.8059~42.0864&amp;sp=point.36.8059_42.0864","Maplink3")</f>
        <v>Maplink3</v>
      </c>
    </row>
    <row r="831" spans="1:49" s="19" customFormat="1" x14ac:dyDescent="0.25">
      <c r="A831" s="9">
        <v>18308</v>
      </c>
      <c r="B831" s="10" t="s">
        <v>20</v>
      </c>
      <c r="C831" s="10" t="s">
        <v>1244</v>
      </c>
      <c r="D831" s="10" t="s">
        <v>167</v>
      </c>
      <c r="E831" s="10" t="s">
        <v>90</v>
      </c>
      <c r="F831" s="10">
        <v>36.802901009999999</v>
      </c>
      <c r="G831" s="10">
        <v>42.097400810000003</v>
      </c>
      <c r="H831" s="11">
        <v>1300</v>
      </c>
      <c r="I831" s="11">
        <v>7800</v>
      </c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>
        <v>1300</v>
      </c>
      <c r="W831" s="11"/>
      <c r="X831" s="11"/>
      <c r="Y831" s="11"/>
      <c r="Z831" s="11"/>
      <c r="AA831" s="11"/>
      <c r="AB831" s="11"/>
      <c r="AC831" s="11">
        <v>1300</v>
      </c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>
        <v>1300</v>
      </c>
      <c r="AP831" s="11"/>
      <c r="AQ831" s="11"/>
      <c r="AR831" s="11"/>
      <c r="AS831" s="11"/>
      <c r="AT831" s="11"/>
      <c r="AU831" s="20" t="str">
        <f>HYPERLINK("http://www.openstreetmap.org/?mlat=36.8029&amp;mlon=42.0974&amp;zoom=12#map=12/36.8029/42.0974","Maplink1")</f>
        <v>Maplink1</v>
      </c>
      <c r="AV831" s="20" t="str">
        <f>HYPERLINK("https://www.google.iq/maps/search/+36.8029,42.0974/@36.8029,42.0974,14z?hl=en","Maplink2")</f>
        <v>Maplink2</v>
      </c>
      <c r="AW831" s="20" t="str">
        <f>HYPERLINK("http://www.bing.com/maps/?lvl=14&amp;sty=h&amp;cp=36.8029~42.0974&amp;sp=point.36.8029_42.0974","Maplink3")</f>
        <v>Maplink3</v>
      </c>
    </row>
    <row r="832" spans="1:49" s="19" customFormat="1" x14ac:dyDescent="0.25">
      <c r="A832" s="9">
        <v>24701</v>
      </c>
      <c r="B832" s="10" t="s">
        <v>20</v>
      </c>
      <c r="C832" s="10" t="s">
        <v>1244</v>
      </c>
      <c r="D832" s="10" t="s">
        <v>1275</v>
      </c>
      <c r="E832" s="10" t="s">
        <v>1276</v>
      </c>
      <c r="F832" s="10">
        <v>36.808798635700001</v>
      </c>
      <c r="G832" s="10">
        <v>42.091108648400002</v>
      </c>
      <c r="H832" s="11">
        <v>535</v>
      </c>
      <c r="I832" s="11">
        <v>3210</v>
      </c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>
        <v>535</v>
      </c>
      <c r="W832" s="11"/>
      <c r="X832" s="11"/>
      <c r="Y832" s="11"/>
      <c r="Z832" s="11"/>
      <c r="AA832" s="11"/>
      <c r="AB832" s="11"/>
      <c r="AC832" s="11">
        <v>535</v>
      </c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>
        <v>512</v>
      </c>
      <c r="AP832" s="11"/>
      <c r="AQ832" s="11"/>
      <c r="AR832" s="11">
        <v>23</v>
      </c>
      <c r="AS832" s="11"/>
      <c r="AT832" s="11"/>
      <c r="AU832" s="20" t="str">
        <f>HYPERLINK("http://www.openstreetmap.org/?mlat=36.8088&amp;mlon=42.0911&amp;zoom=12#map=12/36.8088/42.0911","Maplink1")</f>
        <v>Maplink1</v>
      </c>
      <c r="AV832" s="20" t="str">
        <f>HYPERLINK("https://www.google.iq/maps/search/+36.8088,42.0911/@36.8088,42.0911,14z?hl=en","Maplink2")</f>
        <v>Maplink2</v>
      </c>
      <c r="AW832" s="20" t="str">
        <f>HYPERLINK("http://www.bing.com/maps/?lvl=14&amp;sty=h&amp;cp=36.8088~42.0911&amp;sp=point.36.8088_42.0911","Maplink3")</f>
        <v>Maplink3</v>
      </c>
    </row>
    <row r="833" spans="1:49" s="19" customFormat="1" x14ac:dyDescent="0.25">
      <c r="A833" s="9">
        <v>18305</v>
      </c>
      <c r="B833" s="10" t="s">
        <v>20</v>
      </c>
      <c r="C833" s="10" t="s">
        <v>1244</v>
      </c>
      <c r="D833" s="10" t="s">
        <v>1277</v>
      </c>
      <c r="E833" s="10" t="s">
        <v>1278</v>
      </c>
      <c r="F833" s="10">
        <v>36.387099999999997</v>
      </c>
      <c r="G833" s="10">
        <v>42.460900000000002</v>
      </c>
      <c r="H833" s="11">
        <v>10</v>
      </c>
      <c r="I833" s="11">
        <v>60</v>
      </c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>
        <v>10</v>
      </c>
      <c r="W833" s="11"/>
      <c r="X833" s="11"/>
      <c r="Y833" s="11"/>
      <c r="Z833" s="11"/>
      <c r="AA833" s="11"/>
      <c r="AB833" s="11"/>
      <c r="AC833" s="11">
        <v>10</v>
      </c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>
        <v>10</v>
      </c>
      <c r="AP833" s="11"/>
      <c r="AQ833" s="11"/>
      <c r="AR833" s="11"/>
      <c r="AS833" s="11"/>
      <c r="AT833" s="11"/>
      <c r="AU833" s="20" t="str">
        <f>HYPERLINK("http://www.openstreetmap.org/?mlat=36.3871&amp;mlon=42.4609&amp;zoom=12#map=12/36.3871/42.4609","Maplink1")</f>
        <v>Maplink1</v>
      </c>
      <c r="AV833" s="20" t="str">
        <f>HYPERLINK("https://www.google.iq/maps/search/+36.3871,42.4609/@36.3871,42.4609,14z?hl=en","Maplink2")</f>
        <v>Maplink2</v>
      </c>
      <c r="AW833" s="20" t="str">
        <f>HYPERLINK("http://www.bing.com/maps/?lvl=14&amp;sty=h&amp;cp=36.3871~42.4609&amp;sp=point.36.3871_42.4609","Maplink3")</f>
        <v>Maplink3</v>
      </c>
    </row>
    <row r="834" spans="1:49" s="19" customFormat="1" x14ac:dyDescent="0.25">
      <c r="A834" s="9">
        <v>25688</v>
      </c>
      <c r="B834" s="10" t="s">
        <v>20</v>
      </c>
      <c r="C834" s="10" t="s">
        <v>1244</v>
      </c>
      <c r="D834" s="10" t="s">
        <v>1279</v>
      </c>
      <c r="E834" s="10" t="s">
        <v>1200</v>
      </c>
      <c r="F834" s="10">
        <v>36.807910980000003</v>
      </c>
      <c r="G834" s="10">
        <v>42.082697750000001</v>
      </c>
      <c r="H834" s="11">
        <v>470</v>
      </c>
      <c r="I834" s="11">
        <v>2820</v>
      </c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>
        <v>470</v>
      </c>
      <c r="W834" s="11"/>
      <c r="X834" s="11"/>
      <c r="Y834" s="11"/>
      <c r="Z834" s="11"/>
      <c r="AA834" s="11"/>
      <c r="AB834" s="11"/>
      <c r="AC834" s="11">
        <v>470</v>
      </c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>
        <v>460</v>
      </c>
      <c r="AP834" s="11"/>
      <c r="AQ834" s="11"/>
      <c r="AR834" s="11">
        <v>10</v>
      </c>
      <c r="AS834" s="11"/>
      <c r="AT834" s="11"/>
      <c r="AU834" s="20" t="str">
        <f>HYPERLINK("http://www.openstreetmap.org/?mlat=36.8079&amp;mlon=42.0827&amp;zoom=12#map=12/36.8079/42.0827","Maplink1")</f>
        <v>Maplink1</v>
      </c>
      <c r="AV834" s="20" t="str">
        <f>HYPERLINK("https://www.google.iq/maps/search/+36.8079,42.0827/@36.8079,42.0827,14z?hl=en","Maplink2")</f>
        <v>Maplink2</v>
      </c>
      <c r="AW834" s="20" t="str">
        <f>HYPERLINK("http://www.bing.com/maps/?lvl=14&amp;sty=h&amp;cp=36.8079~42.0827&amp;sp=point.36.8079_42.0827","Maplink3")</f>
        <v>Maplink3</v>
      </c>
    </row>
    <row r="835" spans="1:49" s="19" customFormat="1" x14ac:dyDescent="0.25">
      <c r="A835" s="9">
        <v>18303</v>
      </c>
      <c r="B835" s="10" t="s">
        <v>20</v>
      </c>
      <c r="C835" s="10" t="s">
        <v>1244</v>
      </c>
      <c r="D835" s="10" t="s">
        <v>1280</v>
      </c>
      <c r="E835" s="10" t="s">
        <v>785</v>
      </c>
      <c r="F835" s="10">
        <v>36.388599999999997</v>
      </c>
      <c r="G835" s="10">
        <v>42.463999999999999</v>
      </c>
      <c r="H835" s="11">
        <v>16</v>
      </c>
      <c r="I835" s="11">
        <v>96</v>
      </c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>
        <v>16</v>
      </c>
      <c r="W835" s="11"/>
      <c r="X835" s="11"/>
      <c r="Y835" s="11"/>
      <c r="Z835" s="11"/>
      <c r="AA835" s="11"/>
      <c r="AB835" s="11"/>
      <c r="AC835" s="11">
        <v>16</v>
      </c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>
        <v>16</v>
      </c>
      <c r="AP835" s="11"/>
      <c r="AQ835" s="11"/>
      <c r="AR835" s="11"/>
      <c r="AS835" s="11"/>
      <c r="AT835" s="11"/>
      <c r="AU835" s="20" t="str">
        <f>HYPERLINK("http://www.openstreetmap.org/?mlat=36.3886&amp;mlon=42.464&amp;zoom=12#map=12/36.3886/42.464","Maplink1")</f>
        <v>Maplink1</v>
      </c>
      <c r="AV835" s="20" t="str">
        <f>HYPERLINK("https://www.google.iq/maps/search/+36.3886,42.464/@36.3886,42.464,14z?hl=en","Maplink2")</f>
        <v>Maplink2</v>
      </c>
      <c r="AW835" s="20" t="str">
        <f>HYPERLINK("http://www.bing.com/maps/?lvl=14&amp;sty=h&amp;cp=36.3886~42.464&amp;sp=point.36.3886_42.464","Maplink3")</f>
        <v>Maplink3</v>
      </c>
    </row>
    <row r="836" spans="1:49" s="19" customFormat="1" x14ac:dyDescent="0.25">
      <c r="A836" s="9">
        <v>25687</v>
      </c>
      <c r="B836" s="10" t="s">
        <v>20</v>
      </c>
      <c r="C836" s="10" t="s">
        <v>1244</v>
      </c>
      <c r="D836" s="10" t="s">
        <v>1281</v>
      </c>
      <c r="E836" s="10" t="s">
        <v>1282</v>
      </c>
      <c r="F836" s="10">
        <v>36.799288140000002</v>
      </c>
      <c r="G836" s="10">
        <v>42.095022759999999</v>
      </c>
      <c r="H836" s="11">
        <v>168</v>
      </c>
      <c r="I836" s="11">
        <v>1008</v>
      </c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>
        <v>168</v>
      </c>
      <c r="W836" s="11"/>
      <c r="X836" s="11"/>
      <c r="Y836" s="11"/>
      <c r="Z836" s="11"/>
      <c r="AA836" s="11"/>
      <c r="AB836" s="11"/>
      <c r="AC836" s="11">
        <v>168</v>
      </c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>
        <v>168</v>
      </c>
      <c r="AP836" s="11"/>
      <c r="AQ836" s="11"/>
      <c r="AR836" s="11"/>
      <c r="AS836" s="11"/>
      <c r="AT836" s="11"/>
      <c r="AU836" s="20" t="str">
        <f>HYPERLINK("http://www.openstreetmap.org/?mlat=36.7993&amp;mlon=42.095&amp;zoom=12#map=12/36.7993/42.095","Maplink1")</f>
        <v>Maplink1</v>
      </c>
      <c r="AV836" s="20" t="str">
        <f>HYPERLINK("https://www.google.iq/maps/search/+36.7993,42.095/@36.7993,42.095,14z?hl=en","Maplink2")</f>
        <v>Maplink2</v>
      </c>
      <c r="AW836" s="20" t="str">
        <f>HYPERLINK("http://www.bing.com/maps/?lvl=14&amp;sty=h&amp;cp=36.7993~42.095&amp;sp=point.36.7993_42.095","Maplink3")</f>
        <v>Maplink3</v>
      </c>
    </row>
    <row r="837" spans="1:49" s="19" customFormat="1" x14ac:dyDescent="0.25">
      <c r="A837" s="9">
        <v>18309</v>
      </c>
      <c r="B837" s="10" t="s">
        <v>20</v>
      </c>
      <c r="C837" s="10" t="s">
        <v>1244</v>
      </c>
      <c r="D837" s="10" t="s">
        <v>1283</v>
      </c>
      <c r="E837" s="10" t="s">
        <v>693</v>
      </c>
      <c r="F837" s="10">
        <v>36.382599999999996</v>
      </c>
      <c r="G837" s="10">
        <v>42.4651</v>
      </c>
      <c r="H837" s="11">
        <v>20</v>
      </c>
      <c r="I837" s="11">
        <v>120</v>
      </c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>
        <v>20</v>
      </c>
      <c r="W837" s="11"/>
      <c r="X837" s="11"/>
      <c r="Y837" s="11"/>
      <c r="Z837" s="11"/>
      <c r="AA837" s="11"/>
      <c r="AB837" s="11"/>
      <c r="AC837" s="11">
        <v>20</v>
      </c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>
        <v>20</v>
      </c>
      <c r="AP837" s="11"/>
      <c r="AQ837" s="11"/>
      <c r="AR837" s="11"/>
      <c r="AS837" s="11"/>
      <c r="AT837" s="11"/>
      <c r="AU837" s="20" t="str">
        <f>HYPERLINK("http://www.openstreetmap.org/?mlat=36.3826&amp;mlon=42.4651&amp;zoom=12#map=12/36.3826/42.4651","Maplink1")</f>
        <v>Maplink1</v>
      </c>
      <c r="AV837" s="20" t="str">
        <f>HYPERLINK("https://www.google.iq/maps/search/+36.3826,42.4651/@36.3826,42.4651,14z?hl=en","Maplink2")</f>
        <v>Maplink2</v>
      </c>
      <c r="AW837" s="20" t="str">
        <f>HYPERLINK("http://www.bing.com/maps/?lvl=14&amp;sty=h&amp;cp=36.3826~42.4651&amp;sp=point.36.3826_42.4651","Maplink3")</f>
        <v>Maplink3</v>
      </c>
    </row>
    <row r="838" spans="1:49" s="19" customFormat="1" x14ac:dyDescent="0.25">
      <c r="A838" s="9">
        <v>18304</v>
      </c>
      <c r="B838" s="10" t="s">
        <v>20</v>
      </c>
      <c r="C838" s="10" t="s">
        <v>1244</v>
      </c>
      <c r="D838" s="10" t="s">
        <v>1284</v>
      </c>
      <c r="E838" s="10" t="s">
        <v>1285</v>
      </c>
      <c r="F838" s="10">
        <v>36.367199999999997</v>
      </c>
      <c r="G838" s="10">
        <v>42.432099999999998</v>
      </c>
      <c r="H838" s="11">
        <v>25</v>
      </c>
      <c r="I838" s="11">
        <v>150</v>
      </c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>
        <v>25</v>
      </c>
      <c r="W838" s="11"/>
      <c r="X838" s="11"/>
      <c r="Y838" s="11"/>
      <c r="Z838" s="11"/>
      <c r="AA838" s="11"/>
      <c r="AB838" s="11"/>
      <c r="AC838" s="11">
        <v>25</v>
      </c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>
        <v>25</v>
      </c>
      <c r="AP838" s="11"/>
      <c r="AQ838" s="11"/>
      <c r="AR838" s="11"/>
      <c r="AS838" s="11"/>
      <c r="AT838" s="11"/>
      <c r="AU838" s="20" t="str">
        <f>HYPERLINK("http://www.openstreetmap.org/?mlat=36.3672&amp;mlon=42.4321&amp;zoom=12#map=12/36.3672/42.4321","Maplink1")</f>
        <v>Maplink1</v>
      </c>
      <c r="AV838" s="20" t="str">
        <f>HYPERLINK("https://www.google.iq/maps/search/+36.3672,42.4321/@36.3672,42.4321,14z?hl=en","Maplink2")</f>
        <v>Maplink2</v>
      </c>
      <c r="AW838" s="20" t="str">
        <f>HYPERLINK("http://www.bing.com/maps/?lvl=14&amp;sty=h&amp;cp=36.3672~42.4321&amp;sp=point.36.3672_42.4321","Maplink3")</f>
        <v>Maplink3</v>
      </c>
    </row>
    <row r="839" spans="1:49" s="19" customFormat="1" x14ac:dyDescent="0.25">
      <c r="A839" s="9">
        <v>25808</v>
      </c>
      <c r="B839" s="10" t="s">
        <v>20</v>
      </c>
      <c r="C839" s="10" t="s">
        <v>1244</v>
      </c>
      <c r="D839" s="10" t="s">
        <v>1286</v>
      </c>
      <c r="E839" s="10" t="s">
        <v>1287</v>
      </c>
      <c r="F839" s="10">
        <v>36.804023440000002</v>
      </c>
      <c r="G839" s="10">
        <v>42.086926939999998</v>
      </c>
      <c r="H839" s="11">
        <v>600</v>
      </c>
      <c r="I839" s="11">
        <v>3600</v>
      </c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>
        <v>600</v>
      </c>
      <c r="W839" s="11"/>
      <c r="X839" s="11"/>
      <c r="Y839" s="11"/>
      <c r="Z839" s="11"/>
      <c r="AA839" s="11"/>
      <c r="AB839" s="11"/>
      <c r="AC839" s="11">
        <v>600</v>
      </c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>
        <v>600</v>
      </c>
      <c r="AP839" s="11"/>
      <c r="AQ839" s="11"/>
      <c r="AR839" s="11"/>
      <c r="AS839" s="11"/>
      <c r="AT839" s="11"/>
      <c r="AU839" s="20" t="str">
        <f>HYPERLINK("http://www.openstreetmap.org/?mlat=36.804&amp;mlon=42.0869&amp;zoom=12#map=12/36.804/42.0869","Maplink1")</f>
        <v>Maplink1</v>
      </c>
      <c r="AV839" s="20" t="str">
        <f>HYPERLINK("https://www.google.iq/maps/search/+36.804,42.0869/@36.804,42.0869,14z?hl=en","Maplink2")</f>
        <v>Maplink2</v>
      </c>
      <c r="AW839" s="20" t="str">
        <f>HYPERLINK("http://www.bing.com/maps/?lvl=14&amp;sty=h&amp;cp=36.804~42.0869&amp;sp=point.36.804_42.0869","Maplink3")</f>
        <v>Maplink3</v>
      </c>
    </row>
    <row r="840" spans="1:49" s="19" customFormat="1" x14ac:dyDescent="0.25">
      <c r="A840" s="9">
        <v>25807</v>
      </c>
      <c r="B840" s="10" t="s">
        <v>20</v>
      </c>
      <c r="C840" s="10" t="s">
        <v>1244</v>
      </c>
      <c r="D840" s="10" t="s">
        <v>1288</v>
      </c>
      <c r="E840" s="10" t="s">
        <v>1289</v>
      </c>
      <c r="F840" s="10">
        <v>36.801679610000001</v>
      </c>
      <c r="G840" s="10">
        <v>42.0950682</v>
      </c>
      <c r="H840" s="11">
        <v>227</v>
      </c>
      <c r="I840" s="11">
        <v>1362</v>
      </c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>
        <v>227</v>
      </c>
      <c r="W840" s="11"/>
      <c r="X840" s="11"/>
      <c r="Y840" s="11"/>
      <c r="Z840" s="11"/>
      <c r="AA840" s="11"/>
      <c r="AB840" s="11"/>
      <c r="AC840" s="11">
        <v>227</v>
      </c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>
        <v>227</v>
      </c>
      <c r="AP840" s="11"/>
      <c r="AQ840" s="11"/>
      <c r="AR840" s="11"/>
      <c r="AS840" s="11"/>
      <c r="AT840" s="11"/>
      <c r="AU840" s="20" t="str">
        <f>HYPERLINK("http://www.openstreetmap.org/?mlat=36.8017&amp;mlon=42.0951&amp;zoom=12#map=12/36.8017/42.0951","Maplink1")</f>
        <v>Maplink1</v>
      </c>
      <c r="AV840" s="20" t="str">
        <f>HYPERLINK("https://www.google.iq/maps/search/+36.8017,42.0951/@36.8017,42.0951,14z?hl=en","Maplink2")</f>
        <v>Maplink2</v>
      </c>
      <c r="AW840" s="20" t="str">
        <f>HYPERLINK("http://www.bing.com/maps/?lvl=14&amp;sty=h&amp;cp=36.8017~42.0951&amp;sp=point.36.8017_42.0951","Maplink3")</f>
        <v>Maplink3</v>
      </c>
    </row>
    <row r="841" spans="1:49" s="19" customFormat="1" x14ac:dyDescent="0.25">
      <c r="A841" s="9">
        <v>22648</v>
      </c>
      <c r="B841" s="10" t="s">
        <v>20</v>
      </c>
      <c r="C841" s="10" t="s">
        <v>1244</v>
      </c>
      <c r="D841" s="10" t="s">
        <v>1290</v>
      </c>
      <c r="E841" s="10" t="s">
        <v>1291</v>
      </c>
      <c r="F841" s="10">
        <v>36.535484169999997</v>
      </c>
      <c r="G841" s="10">
        <v>42.704745520000003</v>
      </c>
      <c r="H841" s="11">
        <v>130</v>
      </c>
      <c r="I841" s="11">
        <v>780</v>
      </c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>
        <v>130</v>
      </c>
      <c r="W841" s="11"/>
      <c r="X841" s="11"/>
      <c r="Y841" s="11"/>
      <c r="Z841" s="11"/>
      <c r="AA841" s="11"/>
      <c r="AB841" s="11"/>
      <c r="AC841" s="11">
        <v>130</v>
      </c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>
        <v>105</v>
      </c>
      <c r="AP841" s="11"/>
      <c r="AQ841" s="11">
        <v>25</v>
      </c>
      <c r="AR841" s="11"/>
      <c r="AS841" s="11"/>
      <c r="AT841" s="11"/>
      <c r="AU841" s="20" t="str">
        <f>HYPERLINK("http://www.openstreetmap.org/?mlat=36.5355&amp;mlon=42.7047&amp;zoom=12#map=12/36.5355/42.7047","Maplink1")</f>
        <v>Maplink1</v>
      </c>
      <c r="AV841" s="20" t="str">
        <f>HYPERLINK("https://www.google.iq/maps/search/+36.5355,42.7047/@36.5355,42.7047,14z?hl=en","Maplink2")</f>
        <v>Maplink2</v>
      </c>
      <c r="AW841" s="20" t="str">
        <f>HYPERLINK("http://www.bing.com/maps/?lvl=14&amp;sty=h&amp;cp=36.5355~42.7047&amp;sp=point.36.5355_42.7047","Maplink3")</f>
        <v>Maplink3</v>
      </c>
    </row>
    <row r="842" spans="1:49" s="19" customFormat="1" x14ac:dyDescent="0.25">
      <c r="A842" s="9">
        <v>27395</v>
      </c>
      <c r="B842" s="10" t="s">
        <v>20</v>
      </c>
      <c r="C842" s="10" t="s">
        <v>1244</v>
      </c>
      <c r="D842" s="10" t="s">
        <v>1292</v>
      </c>
      <c r="E842" s="10" t="s">
        <v>1293</v>
      </c>
      <c r="F842" s="10">
        <v>36.563204040000002</v>
      </c>
      <c r="G842" s="10">
        <v>42.556955940000002</v>
      </c>
      <c r="H842" s="11">
        <v>225</v>
      </c>
      <c r="I842" s="11">
        <v>1350</v>
      </c>
      <c r="J842" s="11"/>
      <c r="K842" s="11"/>
      <c r="L842" s="11"/>
      <c r="M842" s="11"/>
      <c r="N842" s="11">
        <v>170</v>
      </c>
      <c r="O842" s="11"/>
      <c r="P842" s="11"/>
      <c r="Q842" s="11"/>
      <c r="R842" s="11"/>
      <c r="S842" s="11"/>
      <c r="T842" s="11"/>
      <c r="U842" s="11"/>
      <c r="V842" s="11">
        <v>55</v>
      </c>
      <c r="W842" s="11"/>
      <c r="X842" s="11"/>
      <c r="Y842" s="11"/>
      <c r="Z842" s="11"/>
      <c r="AA842" s="11"/>
      <c r="AB842" s="11"/>
      <c r="AC842" s="11">
        <v>213</v>
      </c>
      <c r="AD842" s="11">
        <v>12</v>
      </c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>
        <v>225</v>
      </c>
      <c r="AP842" s="11"/>
      <c r="AQ842" s="11"/>
      <c r="AR842" s="11"/>
      <c r="AS842" s="11"/>
      <c r="AT842" s="11"/>
      <c r="AU842" s="20" t="str">
        <f>HYPERLINK("http://www.openstreetmap.org/?mlat=36.5632&amp;mlon=42.557&amp;zoom=12#map=12/36.5632/42.557","Maplink1")</f>
        <v>Maplink1</v>
      </c>
      <c r="AV842" s="20" t="str">
        <f>HYPERLINK("https://www.google.iq/maps/search/+36.5632,42.557/@36.5632,42.557,14z?hl=en","Maplink2")</f>
        <v>Maplink2</v>
      </c>
      <c r="AW842" s="20" t="str">
        <f>HYPERLINK("http://www.bing.com/maps/?lvl=14&amp;sty=h&amp;cp=36.5632~42.557&amp;sp=point.36.5632_42.557","Maplink3")</f>
        <v>Maplink3</v>
      </c>
    </row>
    <row r="843" spans="1:49" s="19" customFormat="1" x14ac:dyDescent="0.25">
      <c r="A843" s="9">
        <v>33212</v>
      </c>
      <c r="B843" s="10" t="s">
        <v>20</v>
      </c>
      <c r="C843" s="10" t="s">
        <v>1244</v>
      </c>
      <c r="D843" s="10" t="s">
        <v>1982</v>
      </c>
      <c r="E843" s="10" t="s">
        <v>1983</v>
      </c>
      <c r="F843" s="10">
        <v>36.7515</v>
      </c>
      <c r="G843" s="10">
        <v>42.592399999999998</v>
      </c>
      <c r="H843" s="11">
        <v>10</v>
      </c>
      <c r="I843" s="11">
        <v>60</v>
      </c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>
        <v>10</v>
      </c>
      <c r="W843" s="11"/>
      <c r="X843" s="11"/>
      <c r="Y843" s="11"/>
      <c r="Z843" s="11"/>
      <c r="AA843" s="11"/>
      <c r="AB843" s="11"/>
      <c r="AC843" s="11">
        <v>10</v>
      </c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>
        <v>10</v>
      </c>
      <c r="AP843" s="11"/>
      <c r="AQ843" s="11"/>
      <c r="AR843" s="11"/>
      <c r="AS843" s="11"/>
      <c r="AT843" s="11"/>
      <c r="AU843" s="20" t="str">
        <f>HYPERLINK("http://www.openstreetmap.org/?mlat=36.7515&amp;mlon=42.5924&amp;zoom=12#map=12/36.7515/42.5924","Maplink1")</f>
        <v>Maplink1</v>
      </c>
      <c r="AV843" s="20" t="str">
        <f>HYPERLINK("https://www.google.iq/maps/search/+36.7515,42.5924/@36.7515,42.5924,14z?hl=en","Maplink2")</f>
        <v>Maplink2</v>
      </c>
      <c r="AW843" s="20" t="str">
        <f>HYPERLINK("http://www.bing.com/maps/?lvl=14&amp;sty=h&amp;cp=36.7515~42.5924&amp;sp=point.36.7515_42.5924","Maplink3")</f>
        <v>Maplink3</v>
      </c>
    </row>
    <row r="844" spans="1:49" s="19" customFormat="1" x14ac:dyDescent="0.25">
      <c r="A844" s="9">
        <v>27357</v>
      </c>
      <c r="B844" s="10" t="s">
        <v>20</v>
      </c>
      <c r="C844" s="10" t="s">
        <v>1244</v>
      </c>
      <c r="D844" s="10" t="s">
        <v>1294</v>
      </c>
      <c r="E844" s="10" t="s">
        <v>1295</v>
      </c>
      <c r="F844" s="10">
        <v>36.550674970000003</v>
      </c>
      <c r="G844" s="10">
        <v>42.069208519999997</v>
      </c>
      <c r="H844" s="11">
        <v>72</v>
      </c>
      <c r="I844" s="11">
        <v>432</v>
      </c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>
        <v>72</v>
      </c>
      <c r="W844" s="11"/>
      <c r="X844" s="11"/>
      <c r="Y844" s="11"/>
      <c r="Z844" s="11"/>
      <c r="AA844" s="11"/>
      <c r="AB844" s="11"/>
      <c r="AC844" s="11">
        <v>72</v>
      </c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>
        <v>72</v>
      </c>
      <c r="AQ844" s="11"/>
      <c r="AR844" s="11"/>
      <c r="AS844" s="11"/>
      <c r="AT844" s="11"/>
      <c r="AU844" s="20" t="str">
        <f>HYPERLINK("http://www.openstreetmap.org/?mlat=36.5507&amp;mlon=42.0692&amp;zoom=12#map=12/36.5507/42.0692","Maplink1")</f>
        <v>Maplink1</v>
      </c>
      <c r="AV844" s="20" t="str">
        <f>HYPERLINK("https://www.google.iq/maps/search/+36.5507,42.0692/@36.5507,42.0692,14z?hl=en","Maplink2")</f>
        <v>Maplink2</v>
      </c>
      <c r="AW844" s="20" t="str">
        <f>HYPERLINK("http://www.bing.com/maps/?lvl=14&amp;sty=h&amp;cp=36.5507~42.0692&amp;sp=point.36.5507_42.0692","Maplink3")</f>
        <v>Maplink3</v>
      </c>
    </row>
    <row r="845" spans="1:49" s="19" customFormat="1" x14ac:dyDescent="0.25">
      <c r="A845" s="9">
        <v>17582</v>
      </c>
      <c r="B845" s="10" t="s">
        <v>20</v>
      </c>
      <c r="C845" s="10" t="s">
        <v>1244</v>
      </c>
      <c r="D845" s="10" t="s">
        <v>1643</v>
      </c>
      <c r="E845" s="10" t="s">
        <v>1644</v>
      </c>
      <c r="F845" s="10">
        <v>36.533079999999998</v>
      </c>
      <c r="G845" s="10">
        <v>42.642029999999998</v>
      </c>
      <c r="H845" s="11">
        <v>27</v>
      </c>
      <c r="I845" s="11">
        <v>162</v>
      </c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>
        <v>27</v>
      </c>
      <c r="W845" s="11"/>
      <c r="X845" s="11"/>
      <c r="Y845" s="11"/>
      <c r="Z845" s="11"/>
      <c r="AA845" s="11"/>
      <c r="AB845" s="11"/>
      <c r="AC845" s="11">
        <v>27</v>
      </c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>
        <v>27</v>
      </c>
      <c r="AP845" s="11"/>
      <c r="AQ845" s="11"/>
      <c r="AR845" s="11"/>
      <c r="AS845" s="11"/>
      <c r="AT845" s="11"/>
      <c r="AU845" s="20" t="str">
        <f>HYPERLINK("http://www.openstreetmap.org/?mlat=36.5331&amp;mlon=42.642&amp;zoom=12#map=12/36.5331/42.642","Maplink1")</f>
        <v>Maplink1</v>
      </c>
      <c r="AV845" s="20" t="str">
        <f>HYPERLINK("https://www.google.iq/maps/search/+36.5331,42.642/@36.5331,42.642,14z?hl=en","Maplink2")</f>
        <v>Maplink2</v>
      </c>
      <c r="AW845" s="20" t="str">
        <f>HYPERLINK("http://www.bing.com/maps/?lvl=14&amp;sty=h&amp;cp=36.5331~42.642&amp;sp=point.36.5331_42.642","Maplink3")</f>
        <v>Maplink3</v>
      </c>
    </row>
    <row r="846" spans="1:49" s="19" customFormat="1" x14ac:dyDescent="0.25">
      <c r="A846" s="9">
        <v>17580</v>
      </c>
      <c r="B846" s="10" t="s">
        <v>20</v>
      </c>
      <c r="C846" s="10" t="s">
        <v>1244</v>
      </c>
      <c r="D846" s="10" t="s">
        <v>1296</v>
      </c>
      <c r="E846" s="10" t="s">
        <v>1297</v>
      </c>
      <c r="F846" s="10">
        <v>36.595528020000003</v>
      </c>
      <c r="G846" s="10">
        <v>42.681642889999999</v>
      </c>
      <c r="H846" s="11">
        <v>345</v>
      </c>
      <c r="I846" s="11">
        <v>2070</v>
      </c>
      <c r="J846" s="11"/>
      <c r="K846" s="11"/>
      <c r="L846" s="11"/>
      <c r="M846" s="11"/>
      <c r="N846" s="11">
        <v>345</v>
      </c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>
        <v>345</v>
      </c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>
        <v>345</v>
      </c>
      <c r="AP846" s="11"/>
      <c r="AQ846" s="11"/>
      <c r="AR846" s="11"/>
      <c r="AS846" s="11"/>
      <c r="AT846" s="11"/>
      <c r="AU846" s="20" t="str">
        <f>HYPERLINK("http://www.openstreetmap.org/?mlat=36.5955&amp;mlon=42.6816&amp;zoom=12#map=12/36.5955/42.6816","Maplink1")</f>
        <v>Maplink1</v>
      </c>
      <c r="AV846" s="20" t="str">
        <f>HYPERLINK("https://www.google.iq/maps/search/+36.5955,42.6816/@36.5955,42.6816,14z?hl=en","Maplink2")</f>
        <v>Maplink2</v>
      </c>
      <c r="AW846" s="20" t="str">
        <f>HYPERLINK("http://www.bing.com/maps/?lvl=14&amp;sty=h&amp;cp=36.5955~42.6816&amp;sp=point.36.5955_42.6816","Maplink3")</f>
        <v>Maplink3</v>
      </c>
    </row>
    <row r="847" spans="1:49" s="19" customFormat="1" x14ac:dyDescent="0.25">
      <c r="A847" s="9">
        <v>22448</v>
      </c>
      <c r="B847" s="10" t="s">
        <v>20</v>
      </c>
      <c r="C847" s="10" t="s">
        <v>1244</v>
      </c>
      <c r="D847" s="10" t="s">
        <v>1298</v>
      </c>
      <c r="E847" s="10" t="s">
        <v>1299</v>
      </c>
      <c r="F847" s="10">
        <v>36.563875529999997</v>
      </c>
      <c r="G847" s="10">
        <v>42.572539570000004</v>
      </c>
      <c r="H847" s="11">
        <v>850</v>
      </c>
      <c r="I847" s="11">
        <v>5100</v>
      </c>
      <c r="J847" s="11"/>
      <c r="K847" s="11"/>
      <c r="L847" s="11"/>
      <c r="M847" s="11"/>
      <c r="N847" s="11">
        <v>710</v>
      </c>
      <c r="O847" s="11"/>
      <c r="P847" s="11"/>
      <c r="Q847" s="11"/>
      <c r="R847" s="11"/>
      <c r="S847" s="11"/>
      <c r="T847" s="11"/>
      <c r="U847" s="11"/>
      <c r="V847" s="11">
        <v>140</v>
      </c>
      <c r="W847" s="11"/>
      <c r="X847" s="11"/>
      <c r="Y847" s="11"/>
      <c r="Z847" s="11"/>
      <c r="AA847" s="11"/>
      <c r="AB847" s="11"/>
      <c r="AC847" s="11">
        <v>842</v>
      </c>
      <c r="AD847" s="11">
        <v>8</v>
      </c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>
        <v>850</v>
      </c>
      <c r="AP847" s="11"/>
      <c r="AQ847" s="11"/>
      <c r="AR847" s="11"/>
      <c r="AS847" s="11"/>
      <c r="AT847" s="11"/>
      <c r="AU847" s="20" t="str">
        <f>HYPERLINK("http://www.openstreetmap.org/?mlat=36.5639&amp;mlon=42.5725&amp;zoom=12#map=12/36.5639/42.5725","Maplink1")</f>
        <v>Maplink1</v>
      </c>
      <c r="AV847" s="20" t="str">
        <f>HYPERLINK("https://www.google.iq/maps/search/+36.5639,42.5725/@36.5639,42.5725,14z?hl=en","Maplink2")</f>
        <v>Maplink2</v>
      </c>
      <c r="AW847" s="20" t="str">
        <f>HYPERLINK("http://www.bing.com/maps/?lvl=14&amp;sty=h&amp;cp=36.5639~42.5725&amp;sp=point.36.5639_42.5725","Maplink3")</f>
        <v>Maplink3</v>
      </c>
    </row>
    <row r="848" spans="1:49" s="19" customFormat="1" x14ac:dyDescent="0.25">
      <c r="A848" s="9">
        <v>17803</v>
      </c>
      <c r="B848" s="10" t="s">
        <v>20</v>
      </c>
      <c r="C848" s="10" t="s">
        <v>1244</v>
      </c>
      <c r="D848" s="10" t="s">
        <v>1984</v>
      </c>
      <c r="E848" s="10" t="s">
        <v>1985</v>
      </c>
      <c r="F848" s="10">
        <v>36.680700000000002</v>
      </c>
      <c r="G848" s="10">
        <v>42.5169</v>
      </c>
      <c r="H848" s="11">
        <v>300</v>
      </c>
      <c r="I848" s="11">
        <v>1800</v>
      </c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>
        <v>300</v>
      </c>
      <c r="W848" s="11"/>
      <c r="X848" s="11"/>
      <c r="Y848" s="11"/>
      <c r="Z848" s="11"/>
      <c r="AA848" s="11"/>
      <c r="AB848" s="11"/>
      <c r="AC848" s="11">
        <v>200</v>
      </c>
      <c r="AD848" s="11"/>
      <c r="AE848" s="11"/>
      <c r="AF848" s="11"/>
      <c r="AG848" s="11"/>
      <c r="AH848" s="11"/>
      <c r="AI848" s="11"/>
      <c r="AJ848" s="11"/>
      <c r="AK848" s="11">
        <v>100</v>
      </c>
      <c r="AL848" s="11"/>
      <c r="AM848" s="11"/>
      <c r="AN848" s="11"/>
      <c r="AO848" s="11">
        <v>300</v>
      </c>
      <c r="AP848" s="11"/>
      <c r="AQ848" s="11"/>
      <c r="AR848" s="11"/>
      <c r="AS848" s="11"/>
      <c r="AT848" s="11"/>
      <c r="AU848" s="20" t="str">
        <f>HYPERLINK("http://www.openstreetmap.org/?mlat=36.6807&amp;mlon=42.5169&amp;zoom=12#map=12/36.6807/42.5169","Maplink1")</f>
        <v>Maplink1</v>
      </c>
      <c r="AV848" s="20" t="str">
        <f>HYPERLINK("https://www.google.iq/maps/search/+36.6807,42.5169/@36.6807,42.5169,14z?hl=en","Maplink2")</f>
        <v>Maplink2</v>
      </c>
      <c r="AW848" s="20" t="str">
        <f>HYPERLINK("http://www.bing.com/maps/?lvl=14&amp;sty=h&amp;cp=36.6807~42.5169&amp;sp=point.36.6807_42.5169","Maplink3")</f>
        <v>Maplink3</v>
      </c>
    </row>
    <row r="849" spans="1:49" s="19" customFormat="1" x14ac:dyDescent="0.25">
      <c r="A849" s="9">
        <v>25692</v>
      </c>
      <c r="B849" s="10" t="s">
        <v>20</v>
      </c>
      <c r="C849" s="10" t="s">
        <v>1244</v>
      </c>
      <c r="D849" s="10" t="s">
        <v>1300</v>
      </c>
      <c r="E849" s="10" t="s">
        <v>1301</v>
      </c>
      <c r="F849" s="10">
        <v>36.546283000000003</v>
      </c>
      <c r="G849" s="10">
        <v>42.486888290000003</v>
      </c>
      <c r="H849" s="11">
        <v>22</v>
      </c>
      <c r="I849" s="11">
        <v>132</v>
      </c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>
        <v>22</v>
      </c>
      <c r="W849" s="11"/>
      <c r="X849" s="11"/>
      <c r="Y849" s="11"/>
      <c r="Z849" s="11"/>
      <c r="AA849" s="11"/>
      <c r="AB849" s="11"/>
      <c r="AC849" s="11">
        <v>22</v>
      </c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>
        <v>22</v>
      </c>
      <c r="AR849" s="11"/>
      <c r="AS849" s="11"/>
      <c r="AT849" s="11"/>
      <c r="AU849" s="20" t="str">
        <f>HYPERLINK("http://www.openstreetmap.org/?mlat=36.5463&amp;mlon=42.4869&amp;zoom=12#map=12/36.5463/42.4869","Maplink1")</f>
        <v>Maplink1</v>
      </c>
      <c r="AV849" s="20" t="str">
        <f>HYPERLINK("https://www.google.iq/maps/search/+36.5463,42.4869/@36.5463,42.4869,14z?hl=en","Maplink2")</f>
        <v>Maplink2</v>
      </c>
      <c r="AW849" s="20" t="str">
        <f>HYPERLINK("http://www.bing.com/maps/?lvl=14&amp;sty=h&amp;cp=36.5463~42.4869&amp;sp=point.36.5463_42.4869","Maplink3")</f>
        <v>Maplink3</v>
      </c>
    </row>
    <row r="850" spans="1:49" s="19" customFormat="1" x14ac:dyDescent="0.25">
      <c r="A850" s="9">
        <v>25693</v>
      </c>
      <c r="B850" s="10" t="s">
        <v>20</v>
      </c>
      <c r="C850" s="10" t="s">
        <v>1244</v>
      </c>
      <c r="D850" s="10" t="s">
        <v>1302</v>
      </c>
      <c r="E850" s="10" t="s">
        <v>1303</v>
      </c>
      <c r="F850" s="10">
        <v>36.546028059999998</v>
      </c>
      <c r="G850" s="10">
        <v>42.477345190000001</v>
      </c>
      <c r="H850" s="11">
        <v>49</v>
      </c>
      <c r="I850" s="11">
        <v>294</v>
      </c>
      <c r="J850" s="11"/>
      <c r="K850" s="11"/>
      <c r="L850" s="11"/>
      <c r="M850" s="11"/>
      <c r="N850" s="11">
        <v>49</v>
      </c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>
        <v>49</v>
      </c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>
        <v>49</v>
      </c>
      <c r="AP850" s="11"/>
      <c r="AQ850" s="11"/>
      <c r="AR850" s="11"/>
      <c r="AS850" s="11"/>
      <c r="AT850" s="11"/>
      <c r="AU850" s="20" t="str">
        <f>HYPERLINK("http://www.openstreetmap.org/?mlat=36.546&amp;mlon=42.4773&amp;zoom=12#map=12/36.546/42.4773","Maplink1")</f>
        <v>Maplink1</v>
      </c>
      <c r="AV850" s="20" t="str">
        <f>HYPERLINK("https://www.google.iq/maps/search/+36.546,42.4773/@36.546,42.4773,14z?hl=en","Maplink2")</f>
        <v>Maplink2</v>
      </c>
      <c r="AW850" s="20" t="str">
        <f>HYPERLINK("http://www.bing.com/maps/?lvl=14&amp;sty=h&amp;cp=36.546~42.4773&amp;sp=point.36.546_42.4773","Maplink3")</f>
        <v>Maplink3</v>
      </c>
    </row>
    <row r="851" spans="1:49" s="19" customFormat="1" x14ac:dyDescent="0.25">
      <c r="A851" s="9">
        <v>25694</v>
      </c>
      <c r="B851" s="10" t="s">
        <v>20</v>
      </c>
      <c r="C851" s="10" t="s">
        <v>1244</v>
      </c>
      <c r="D851" s="10" t="s">
        <v>1304</v>
      </c>
      <c r="E851" s="10" t="s">
        <v>1305</v>
      </c>
      <c r="F851" s="10">
        <v>36.548578999999997</v>
      </c>
      <c r="G851" s="10">
        <v>42.463979999999999</v>
      </c>
      <c r="H851" s="11">
        <v>50</v>
      </c>
      <c r="I851" s="11">
        <v>300</v>
      </c>
      <c r="J851" s="11"/>
      <c r="K851" s="11"/>
      <c r="L851" s="11"/>
      <c r="M851" s="11"/>
      <c r="N851" s="11">
        <v>10</v>
      </c>
      <c r="O851" s="11"/>
      <c r="P851" s="11"/>
      <c r="Q851" s="11"/>
      <c r="R851" s="11"/>
      <c r="S851" s="11"/>
      <c r="T851" s="11"/>
      <c r="U851" s="11"/>
      <c r="V851" s="11">
        <v>40</v>
      </c>
      <c r="W851" s="11"/>
      <c r="X851" s="11"/>
      <c r="Y851" s="11"/>
      <c r="Z851" s="11"/>
      <c r="AA851" s="11"/>
      <c r="AB851" s="11"/>
      <c r="AC851" s="11">
        <v>50</v>
      </c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>
        <v>15</v>
      </c>
      <c r="AP851" s="11"/>
      <c r="AQ851" s="11">
        <v>35</v>
      </c>
      <c r="AR851" s="11"/>
      <c r="AS851" s="11"/>
      <c r="AT851" s="11"/>
      <c r="AU851" s="20" t="str">
        <f>HYPERLINK("http://www.openstreetmap.org/?mlat=36.5486&amp;mlon=42.464&amp;zoom=12#map=12/36.5486/42.464","Maplink1")</f>
        <v>Maplink1</v>
      </c>
      <c r="AV851" s="20" t="str">
        <f>HYPERLINK("https://www.google.iq/maps/search/+36.5486,42.464/@36.5486,42.464,14z?hl=en","Maplink2")</f>
        <v>Maplink2</v>
      </c>
      <c r="AW851" s="20" t="str">
        <f>HYPERLINK("http://www.bing.com/maps/?lvl=14&amp;sty=h&amp;cp=36.5486~42.464&amp;sp=point.36.5486_42.464","Maplink3")</f>
        <v>Maplink3</v>
      </c>
    </row>
    <row r="852" spans="1:49" s="19" customFormat="1" x14ac:dyDescent="0.25">
      <c r="A852" s="9">
        <v>17669</v>
      </c>
      <c r="B852" s="10" t="s">
        <v>20</v>
      </c>
      <c r="C852" s="10" t="s">
        <v>1244</v>
      </c>
      <c r="D852" s="10" t="s">
        <v>2170</v>
      </c>
      <c r="E852" s="10" t="s">
        <v>2171</v>
      </c>
      <c r="F852" s="10">
        <v>36.902262</v>
      </c>
      <c r="G852" s="10">
        <v>42.395274000000001</v>
      </c>
      <c r="H852" s="11">
        <v>2</v>
      </c>
      <c r="I852" s="11">
        <v>12</v>
      </c>
      <c r="J852" s="11"/>
      <c r="K852" s="11"/>
      <c r="L852" s="11"/>
      <c r="M852" s="11"/>
      <c r="N852" s="11">
        <v>2</v>
      </c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>
        <v>2</v>
      </c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>
        <v>2</v>
      </c>
      <c r="AU852" s="20" t="str">
        <f>HYPERLINK("http://www.openstreetmap.org/?mlat=36.9023&amp;mlon=42.3953&amp;zoom=12#map=12/36.9023/42.3953","Maplink1")</f>
        <v>Maplink1</v>
      </c>
      <c r="AV852" s="20" t="str">
        <f>HYPERLINK("https://www.google.iq/maps/search/+36.9023,42.3953/@36.9023,42.3953,14z?hl=en","Maplink2")</f>
        <v>Maplink2</v>
      </c>
      <c r="AW852" s="20" t="str">
        <f>HYPERLINK("http://www.bing.com/maps/?lvl=14&amp;sty=h&amp;cp=36.9023~42.3953&amp;sp=point.36.9023_42.3953","Maplink3")</f>
        <v>Maplink3</v>
      </c>
    </row>
    <row r="853" spans="1:49" s="19" customFormat="1" x14ac:dyDescent="0.25">
      <c r="A853" s="9">
        <v>28451</v>
      </c>
      <c r="B853" s="10" t="s">
        <v>20</v>
      </c>
      <c r="C853" s="10" t="s">
        <v>1244</v>
      </c>
      <c r="D853" s="10" t="s">
        <v>1306</v>
      </c>
      <c r="E853" s="10" t="s">
        <v>1307</v>
      </c>
      <c r="F853" s="10">
        <v>36.729982</v>
      </c>
      <c r="G853" s="10">
        <v>42.389882</v>
      </c>
      <c r="H853" s="11">
        <v>419</v>
      </c>
      <c r="I853" s="11">
        <v>2514</v>
      </c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>
        <v>419</v>
      </c>
      <c r="W853" s="11"/>
      <c r="X853" s="11"/>
      <c r="Y853" s="11"/>
      <c r="Z853" s="11"/>
      <c r="AA853" s="11"/>
      <c r="AB853" s="11"/>
      <c r="AC853" s="11">
        <v>419</v>
      </c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>
        <v>419</v>
      </c>
      <c r="AP853" s="11"/>
      <c r="AQ853" s="11"/>
      <c r="AR853" s="11"/>
      <c r="AS853" s="11"/>
      <c r="AT853" s="11"/>
      <c r="AU853" s="20" t="str">
        <f>HYPERLINK("http://www.openstreetmap.org/?mlat=36.73&amp;mlon=42.3899&amp;zoom=12#map=12/36.73/42.3899","Maplink1")</f>
        <v>Maplink1</v>
      </c>
      <c r="AV853" s="20" t="str">
        <f>HYPERLINK("https://www.google.iq/maps/search/+36.73,42.3899/@36.73,42.3899,14z?hl=en","Maplink2")</f>
        <v>Maplink2</v>
      </c>
      <c r="AW853" s="20" t="str">
        <f>HYPERLINK("http://www.bing.com/maps/?lvl=14&amp;sty=h&amp;cp=36.73~42.3899&amp;sp=point.36.73_42.3899","Maplink3")</f>
        <v>Maplink3</v>
      </c>
    </row>
    <row r="854" spans="1:49" s="19" customFormat="1" x14ac:dyDescent="0.25">
      <c r="A854" s="9">
        <v>24908</v>
      </c>
      <c r="B854" s="10" t="s">
        <v>20</v>
      </c>
      <c r="C854" s="10" t="s">
        <v>1244</v>
      </c>
      <c r="D854" s="10" t="s">
        <v>1308</v>
      </c>
      <c r="E854" s="10" t="s">
        <v>1986</v>
      </c>
      <c r="F854" s="10">
        <v>36.746687000000001</v>
      </c>
      <c r="G854" s="10">
        <v>42.469678000000002</v>
      </c>
      <c r="H854" s="11">
        <v>275</v>
      </c>
      <c r="I854" s="11">
        <v>1650</v>
      </c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>
        <v>275</v>
      </c>
      <c r="W854" s="11"/>
      <c r="X854" s="11"/>
      <c r="Y854" s="11"/>
      <c r="Z854" s="11"/>
      <c r="AA854" s="11"/>
      <c r="AB854" s="11"/>
      <c r="AC854" s="11">
        <v>200</v>
      </c>
      <c r="AD854" s="11"/>
      <c r="AE854" s="11"/>
      <c r="AF854" s="11"/>
      <c r="AG854" s="11"/>
      <c r="AH854" s="11"/>
      <c r="AI854" s="11"/>
      <c r="AJ854" s="11"/>
      <c r="AK854" s="11">
        <v>75</v>
      </c>
      <c r="AL854" s="11"/>
      <c r="AM854" s="11"/>
      <c r="AN854" s="11"/>
      <c r="AO854" s="11">
        <v>275</v>
      </c>
      <c r="AP854" s="11"/>
      <c r="AQ854" s="11"/>
      <c r="AR854" s="11"/>
      <c r="AS854" s="11"/>
      <c r="AT854" s="11"/>
      <c r="AU854" s="20" t="str">
        <f>HYPERLINK("http://www.openstreetmap.org/?mlat=36.7467&amp;mlon=42.4697&amp;zoom=12#map=12/36.7467/42.4697","Maplink1")</f>
        <v>Maplink1</v>
      </c>
      <c r="AV854" s="20" t="str">
        <f>HYPERLINK("https://www.google.iq/maps/search/+36.7467,42.4697/@36.7467,42.4697,14z?hl=en","Maplink2")</f>
        <v>Maplink2</v>
      </c>
      <c r="AW854" s="20" t="str">
        <f>HYPERLINK("http://www.bing.com/maps/?lvl=14&amp;sty=h&amp;cp=36.7467~42.4697&amp;sp=point.36.7467_42.4697","Maplink3")</f>
        <v>Maplink3</v>
      </c>
    </row>
    <row r="855" spans="1:49" s="19" customFormat="1" x14ac:dyDescent="0.25">
      <c r="A855" s="9">
        <v>27304</v>
      </c>
      <c r="B855" s="10" t="s">
        <v>20</v>
      </c>
      <c r="C855" s="10" t="s">
        <v>1244</v>
      </c>
      <c r="D855" s="10" t="s">
        <v>1309</v>
      </c>
      <c r="E855" s="10" t="s">
        <v>1987</v>
      </c>
      <c r="F855" s="10">
        <v>36.761990580000003</v>
      </c>
      <c r="G855" s="10">
        <v>42.458206539999999</v>
      </c>
      <c r="H855" s="11">
        <v>600</v>
      </c>
      <c r="I855" s="11">
        <v>3600</v>
      </c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>
        <v>600</v>
      </c>
      <c r="W855" s="11"/>
      <c r="X855" s="11"/>
      <c r="Y855" s="11"/>
      <c r="Z855" s="11"/>
      <c r="AA855" s="11"/>
      <c r="AB855" s="11"/>
      <c r="AC855" s="11">
        <v>600</v>
      </c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>
        <v>600</v>
      </c>
      <c r="AP855" s="11"/>
      <c r="AQ855" s="11"/>
      <c r="AR855" s="11"/>
      <c r="AS855" s="11"/>
      <c r="AT855" s="11"/>
      <c r="AU855" s="20" t="str">
        <f>HYPERLINK("http://www.openstreetmap.org/?mlat=36.762&amp;mlon=42.4582&amp;zoom=12#map=12/36.762/42.4582","Maplink1")</f>
        <v>Maplink1</v>
      </c>
      <c r="AV855" s="20" t="str">
        <f>HYPERLINK("https://www.google.iq/maps/search/+36.762,42.4582/@36.762,42.4582,14z?hl=en","Maplink2")</f>
        <v>Maplink2</v>
      </c>
      <c r="AW855" s="20" t="str">
        <f>HYPERLINK("http://www.bing.com/maps/?lvl=14&amp;sty=h&amp;cp=36.762~42.4582&amp;sp=point.36.762_42.4582","Maplink3")</f>
        <v>Maplink3</v>
      </c>
    </row>
    <row r="856" spans="1:49" s="19" customFormat="1" x14ac:dyDescent="0.25">
      <c r="A856" s="9">
        <v>25695</v>
      </c>
      <c r="B856" s="10" t="s">
        <v>20</v>
      </c>
      <c r="C856" s="10" t="s">
        <v>1244</v>
      </c>
      <c r="D856" s="10" t="s">
        <v>1310</v>
      </c>
      <c r="E856" s="10" t="s">
        <v>1311</v>
      </c>
      <c r="F856" s="10">
        <v>36.685932999999999</v>
      </c>
      <c r="G856" s="10">
        <v>42.598467999999997</v>
      </c>
      <c r="H856" s="11">
        <v>835</v>
      </c>
      <c r="I856" s="11">
        <v>5010</v>
      </c>
      <c r="J856" s="11"/>
      <c r="K856" s="11"/>
      <c r="L856" s="11"/>
      <c r="M856" s="11"/>
      <c r="N856" s="11">
        <v>835</v>
      </c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>
        <v>835</v>
      </c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>
        <v>835</v>
      </c>
      <c r="AP856" s="11"/>
      <c r="AQ856" s="11"/>
      <c r="AR856" s="11"/>
      <c r="AS856" s="11"/>
      <c r="AT856" s="11"/>
      <c r="AU856" s="20" t="str">
        <f>HYPERLINK("http://www.openstreetmap.org/?mlat=36.6859&amp;mlon=42.5985&amp;zoom=12#map=12/36.6859/42.5985","Maplink1")</f>
        <v>Maplink1</v>
      </c>
      <c r="AV856" s="20" t="str">
        <f>HYPERLINK("https://www.google.iq/maps/search/+36.6859,42.5985/@36.6859,42.5985,14z?hl=en","Maplink2")</f>
        <v>Maplink2</v>
      </c>
      <c r="AW856" s="20" t="str">
        <f>HYPERLINK("http://www.bing.com/maps/?lvl=14&amp;sty=h&amp;cp=36.6859~42.5985&amp;sp=point.36.6859_42.5985","Maplink3")</f>
        <v>Maplink3</v>
      </c>
    </row>
    <row r="857" spans="1:49" s="19" customFormat="1" x14ac:dyDescent="0.25">
      <c r="A857" s="9">
        <v>17663</v>
      </c>
      <c r="B857" s="10" t="s">
        <v>20</v>
      </c>
      <c r="C857" s="10" t="s">
        <v>1244</v>
      </c>
      <c r="D857" s="10" t="s">
        <v>1312</v>
      </c>
      <c r="E857" s="10" t="s">
        <v>1313</v>
      </c>
      <c r="F857" s="10">
        <v>36.813149189999997</v>
      </c>
      <c r="G857" s="10">
        <v>42.263304830000003</v>
      </c>
      <c r="H857" s="11">
        <v>70</v>
      </c>
      <c r="I857" s="11">
        <v>420</v>
      </c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>
        <v>70</v>
      </c>
      <c r="W857" s="11"/>
      <c r="X857" s="11"/>
      <c r="Y857" s="11"/>
      <c r="Z857" s="11"/>
      <c r="AA857" s="11"/>
      <c r="AB857" s="11"/>
      <c r="AC857" s="11">
        <v>70</v>
      </c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>
        <v>62</v>
      </c>
      <c r="AP857" s="11"/>
      <c r="AQ857" s="11"/>
      <c r="AR857" s="11"/>
      <c r="AS857" s="11"/>
      <c r="AT857" s="11">
        <v>8</v>
      </c>
      <c r="AU857" s="20" t="str">
        <f>HYPERLINK("http://www.openstreetmap.org/?mlat=36.8131&amp;mlon=42.2633&amp;zoom=12#map=12/36.8131/42.2633","Maplink1")</f>
        <v>Maplink1</v>
      </c>
      <c r="AV857" s="20" t="str">
        <f>HYPERLINK("https://www.google.iq/maps/search/+36.8131,42.2633/@36.8131,42.2633,14z?hl=en","Maplink2")</f>
        <v>Maplink2</v>
      </c>
      <c r="AW857" s="20" t="str">
        <f>HYPERLINK("http://www.bing.com/maps/?lvl=14&amp;sty=h&amp;cp=36.8131~42.2633&amp;sp=point.36.8131_42.2633","Maplink3")</f>
        <v>Maplink3</v>
      </c>
    </row>
    <row r="858" spans="1:49" s="19" customFormat="1" x14ac:dyDescent="0.25">
      <c r="A858" s="9">
        <v>25893</v>
      </c>
      <c r="B858" s="10" t="s">
        <v>20</v>
      </c>
      <c r="C858" s="10" t="s">
        <v>1244</v>
      </c>
      <c r="D858" s="10" t="s">
        <v>1314</v>
      </c>
      <c r="E858" s="10" t="s">
        <v>1315</v>
      </c>
      <c r="F858" s="10">
        <v>36.762185049999999</v>
      </c>
      <c r="G858" s="10">
        <v>42.064760419999999</v>
      </c>
      <c r="H858" s="11">
        <v>348</v>
      </c>
      <c r="I858" s="11">
        <v>2088</v>
      </c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>
        <v>348</v>
      </c>
      <c r="W858" s="11"/>
      <c r="X858" s="11"/>
      <c r="Y858" s="11"/>
      <c r="Z858" s="11"/>
      <c r="AA858" s="11"/>
      <c r="AB858" s="11"/>
      <c r="AC858" s="11">
        <v>348</v>
      </c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>
        <v>348</v>
      </c>
      <c r="AP858" s="11"/>
      <c r="AQ858" s="11"/>
      <c r="AR858" s="11"/>
      <c r="AS858" s="11"/>
      <c r="AT858" s="11"/>
      <c r="AU858" s="20" t="str">
        <f>HYPERLINK("http://www.openstreetmap.org/?mlat=36.7622&amp;mlon=42.0648&amp;zoom=12#map=12/36.7622/42.0648","Maplink1")</f>
        <v>Maplink1</v>
      </c>
      <c r="AV858" s="20" t="str">
        <f>HYPERLINK("https://www.google.iq/maps/search/+36.7622,42.0648/@36.7622,42.0648,14z?hl=en","Maplink2")</f>
        <v>Maplink2</v>
      </c>
      <c r="AW858" s="20" t="str">
        <f>HYPERLINK("http://www.bing.com/maps/?lvl=14&amp;sty=h&amp;cp=36.7622~42.0648&amp;sp=point.36.7622_42.0648","Maplink3")</f>
        <v>Maplink3</v>
      </c>
    </row>
    <row r="859" spans="1:49" s="19" customFormat="1" x14ac:dyDescent="0.25">
      <c r="A859" s="9">
        <v>17749</v>
      </c>
      <c r="B859" s="10" t="s">
        <v>20</v>
      </c>
      <c r="C859" s="10" t="s">
        <v>1244</v>
      </c>
      <c r="D859" s="10" t="s">
        <v>1988</v>
      </c>
      <c r="E859" s="10" t="s">
        <v>1989</v>
      </c>
      <c r="F859" s="10">
        <v>36.703800000000001</v>
      </c>
      <c r="G859" s="10">
        <v>42.615499999999997</v>
      </c>
      <c r="H859" s="11">
        <v>270</v>
      </c>
      <c r="I859" s="11">
        <v>1620</v>
      </c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>
        <v>270</v>
      </c>
      <c r="W859" s="11"/>
      <c r="X859" s="11"/>
      <c r="Y859" s="11"/>
      <c r="Z859" s="11"/>
      <c r="AA859" s="11"/>
      <c r="AB859" s="11"/>
      <c r="AC859" s="11">
        <v>100</v>
      </c>
      <c r="AD859" s="11"/>
      <c r="AE859" s="11"/>
      <c r="AF859" s="11"/>
      <c r="AG859" s="11"/>
      <c r="AH859" s="11"/>
      <c r="AI859" s="11"/>
      <c r="AJ859" s="11"/>
      <c r="AK859" s="11">
        <v>170</v>
      </c>
      <c r="AL859" s="11"/>
      <c r="AM859" s="11"/>
      <c r="AN859" s="11"/>
      <c r="AO859" s="11">
        <v>270</v>
      </c>
      <c r="AP859" s="11"/>
      <c r="AQ859" s="11"/>
      <c r="AR859" s="11"/>
      <c r="AS859" s="11"/>
      <c r="AT859" s="11"/>
      <c r="AU859" s="20" t="str">
        <f>HYPERLINK("http://www.openstreetmap.org/?mlat=36.7038&amp;mlon=42.6155&amp;zoom=12#map=12/36.7038/42.6155","Maplink1")</f>
        <v>Maplink1</v>
      </c>
      <c r="AV859" s="20" t="str">
        <f>HYPERLINK("https://www.google.iq/maps/search/+36.7038,42.6155/@36.7038,42.6155,14z?hl=en","Maplink2")</f>
        <v>Maplink2</v>
      </c>
      <c r="AW859" s="20" t="str">
        <f>HYPERLINK("http://www.bing.com/maps/?lvl=14&amp;sty=h&amp;cp=36.7038~42.6155&amp;sp=point.36.7038_42.6155","Maplink3")</f>
        <v>Maplink3</v>
      </c>
    </row>
    <row r="860" spans="1:49" s="19" customFormat="1" x14ac:dyDescent="0.25">
      <c r="A860" s="9">
        <v>18236</v>
      </c>
      <c r="B860" s="10" t="s">
        <v>20</v>
      </c>
      <c r="C860" s="10" t="s">
        <v>1244</v>
      </c>
      <c r="D860" s="10" t="s">
        <v>1990</v>
      </c>
      <c r="E860" s="10" t="s">
        <v>1991</v>
      </c>
      <c r="F860" s="10">
        <v>36.683100000000003</v>
      </c>
      <c r="G860" s="10">
        <v>42.629199999999997</v>
      </c>
      <c r="H860" s="11">
        <v>10</v>
      </c>
      <c r="I860" s="11">
        <v>60</v>
      </c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>
        <v>10</v>
      </c>
      <c r="W860" s="11"/>
      <c r="X860" s="11"/>
      <c r="Y860" s="11"/>
      <c r="Z860" s="11"/>
      <c r="AA860" s="11"/>
      <c r="AB860" s="11"/>
      <c r="AC860" s="11">
        <v>10</v>
      </c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>
        <v>10</v>
      </c>
      <c r="AP860" s="11"/>
      <c r="AQ860" s="11"/>
      <c r="AR860" s="11"/>
      <c r="AS860" s="11"/>
      <c r="AT860" s="11"/>
      <c r="AU860" s="20" t="str">
        <f>HYPERLINK("http://www.openstreetmap.org/?mlat=36.6831&amp;mlon=42.6292&amp;zoom=12#map=12/36.6831/42.6292","Maplink1")</f>
        <v>Maplink1</v>
      </c>
      <c r="AV860" s="20" t="str">
        <f>HYPERLINK("https://www.google.iq/maps/search/+36.6831,42.6292/@36.6831,42.6292,14z?hl=en","Maplink2")</f>
        <v>Maplink2</v>
      </c>
      <c r="AW860" s="20" t="str">
        <f>HYPERLINK("http://www.bing.com/maps/?lvl=14&amp;sty=h&amp;cp=36.6831~42.6292&amp;sp=point.36.6831_42.6292","Maplink3")</f>
        <v>Maplink3</v>
      </c>
    </row>
    <row r="861" spans="1:49" s="19" customFormat="1" x14ac:dyDescent="0.25">
      <c r="A861" s="9">
        <v>18250</v>
      </c>
      <c r="B861" s="10" t="s">
        <v>20</v>
      </c>
      <c r="C861" s="10" t="s">
        <v>1244</v>
      </c>
      <c r="D861" s="10" t="s">
        <v>1645</v>
      </c>
      <c r="E861" s="10" t="s">
        <v>1646</v>
      </c>
      <c r="F861" s="10">
        <v>36.483199999999997</v>
      </c>
      <c r="G861" s="10">
        <v>42.685699999999997</v>
      </c>
      <c r="H861" s="11">
        <v>150</v>
      </c>
      <c r="I861" s="11">
        <v>900</v>
      </c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>
        <v>150</v>
      </c>
      <c r="W861" s="11"/>
      <c r="X861" s="11"/>
      <c r="Y861" s="11"/>
      <c r="Z861" s="11"/>
      <c r="AA861" s="11"/>
      <c r="AB861" s="11"/>
      <c r="AC861" s="11">
        <v>135</v>
      </c>
      <c r="AD861" s="11"/>
      <c r="AE861" s="11"/>
      <c r="AF861" s="11"/>
      <c r="AG861" s="11"/>
      <c r="AH861" s="11"/>
      <c r="AI861" s="11"/>
      <c r="AJ861" s="11"/>
      <c r="AK861" s="11">
        <v>15</v>
      </c>
      <c r="AL861" s="11"/>
      <c r="AM861" s="11"/>
      <c r="AN861" s="11"/>
      <c r="AO861" s="11"/>
      <c r="AP861" s="11">
        <v>150</v>
      </c>
      <c r="AQ861" s="11"/>
      <c r="AR861" s="11"/>
      <c r="AS861" s="11"/>
      <c r="AT861" s="11"/>
      <c r="AU861" s="20" t="str">
        <f>HYPERLINK("http://www.openstreetmap.org/?mlat=36.4832&amp;mlon=42.6857&amp;zoom=12#map=12/36.4832/42.6857","Maplink1")</f>
        <v>Maplink1</v>
      </c>
      <c r="AV861" s="20" t="str">
        <f>HYPERLINK("https://www.google.iq/maps/search/+36.4832,42.6857/@36.4832,42.6857,14z?hl=en","Maplink2")</f>
        <v>Maplink2</v>
      </c>
      <c r="AW861" s="20" t="str">
        <f>HYPERLINK("http://www.bing.com/maps/?lvl=14&amp;sty=h&amp;cp=36.4832~42.6857&amp;sp=point.36.4832_42.6857","Maplink3")</f>
        <v>Maplink3</v>
      </c>
    </row>
    <row r="862" spans="1:49" s="19" customFormat="1" x14ac:dyDescent="0.25">
      <c r="A862" s="9">
        <v>22799</v>
      </c>
      <c r="B862" s="10" t="s">
        <v>20</v>
      </c>
      <c r="C862" s="10" t="s">
        <v>1244</v>
      </c>
      <c r="D862" s="10" t="s">
        <v>1316</v>
      </c>
      <c r="E862" s="10" t="s">
        <v>1317</v>
      </c>
      <c r="F862" s="10">
        <v>36.593777789999997</v>
      </c>
      <c r="G862" s="10">
        <v>42.525742289999997</v>
      </c>
      <c r="H862" s="11">
        <v>200</v>
      </c>
      <c r="I862" s="11">
        <v>1200</v>
      </c>
      <c r="J862" s="11"/>
      <c r="K862" s="11"/>
      <c r="L862" s="11"/>
      <c r="M862" s="11"/>
      <c r="N862" s="11">
        <v>200</v>
      </c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>
        <v>200</v>
      </c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>
        <v>200</v>
      </c>
      <c r="AP862" s="11"/>
      <c r="AQ862" s="11"/>
      <c r="AR862" s="11"/>
      <c r="AS862" s="11"/>
      <c r="AT862" s="11"/>
      <c r="AU862" s="20" t="str">
        <f>HYPERLINK("http://www.openstreetmap.org/?mlat=36.5938&amp;mlon=42.5257&amp;zoom=12#map=12/36.5938/42.5257","Maplink1")</f>
        <v>Maplink1</v>
      </c>
      <c r="AV862" s="20" t="str">
        <f>HYPERLINK("https://www.google.iq/maps/search/+36.5938,42.5257/@36.5938,42.5257,14z?hl=en","Maplink2")</f>
        <v>Maplink2</v>
      </c>
      <c r="AW862" s="20" t="str">
        <f>HYPERLINK("http://www.bing.com/maps/?lvl=14&amp;sty=h&amp;cp=36.5938~42.5257&amp;sp=point.36.5938_42.5257","Maplink3")</f>
        <v>Maplink3</v>
      </c>
    </row>
    <row r="863" spans="1:49" s="19" customFormat="1" x14ac:dyDescent="0.25">
      <c r="A863" s="9">
        <v>25704</v>
      </c>
      <c r="B863" s="10" t="s">
        <v>20</v>
      </c>
      <c r="C863" s="10" t="s">
        <v>1244</v>
      </c>
      <c r="D863" s="10" t="s">
        <v>1318</v>
      </c>
      <c r="E863" s="10" t="s">
        <v>1319</v>
      </c>
      <c r="F863" s="10">
        <v>36.609332790000003</v>
      </c>
      <c r="G863" s="10">
        <v>42.537091240000002</v>
      </c>
      <c r="H863" s="11">
        <v>190</v>
      </c>
      <c r="I863" s="11">
        <v>1140</v>
      </c>
      <c r="J863" s="11"/>
      <c r="K863" s="11"/>
      <c r="L863" s="11"/>
      <c r="M863" s="11"/>
      <c r="N863" s="11">
        <v>190</v>
      </c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>
        <v>179</v>
      </c>
      <c r="AD863" s="11">
        <v>11</v>
      </c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>
        <v>190</v>
      </c>
      <c r="AP863" s="11"/>
      <c r="AQ863" s="11"/>
      <c r="AR863" s="11"/>
      <c r="AS863" s="11"/>
      <c r="AT863" s="11"/>
      <c r="AU863" s="20" t="str">
        <f>HYPERLINK("http://www.openstreetmap.org/?mlat=36.6093&amp;mlon=42.5371&amp;zoom=12#map=12/36.6093/42.5371","Maplink1")</f>
        <v>Maplink1</v>
      </c>
      <c r="AV863" s="20" t="str">
        <f>HYPERLINK("https://www.google.iq/maps/search/+36.6093,42.5371/@36.6093,42.5371,14z?hl=en","Maplink2")</f>
        <v>Maplink2</v>
      </c>
      <c r="AW863" s="20" t="str">
        <f>HYPERLINK("http://www.bing.com/maps/?lvl=14&amp;sty=h&amp;cp=36.6093~42.5371&amp;sp=point.36.6093_42.5371","Maplink3")</f>
        <v>Maplink3</v>
      </c>
    </row>
    <row r="864" spans="1:49" s="19" customFormat="1" x14ac:dyDescent="0.25">
      <c r="A864" s="9">
        <v>25944</v>
      </c>
      <c r="B864" s="10" t="s">
        <v>20</v>
      </c>
      <c r="C864" s="10" t="s">
        <v>1244</v>
      </c>
      <c r="D864" s="10" t="s">
        <v>1320</v>
      </c>
      <c r="E864" s="10" t="s">
        <v>1321</v>
      </c>
      <c r="F864" s="10">
        <v>36.653372740000002</v>
      </c>
      <c r="G864" s="10">
        <v>42.596476299999999</v>
      </c>
      <c r="H864" s="11">
        <v>2500</v>
      </c>
      <c r="I864" s="11">
        <v>15000</v>
      </c>
      <c r="J864" s="11"/>
      <c r="K864" s="11"/>
      <c r="L864" s="11"/>
      <c r="M864" s="11"/>
      <c r="N864" s="11">
        <v>950</v>
      </c>
      <c r="O864" s="11"/>
      <c r="P864" s="11"/>
      <c r="Q864" s="11"/>
      <c r="R864" s="11"/>
      <c r="S864" s="11"/>
      <c r="T864" s="11"/>
      <c r="U864" s="11"/>
      <c r="V864" s="11">
        <v>1550</v>
      </c>
      <c r="W864" s="11"/>
      <c r="X864" s="11"/>
      <c r="Y864" s="11"/>
      <c r="Z864" s="11"/>
      <c r="AA864" s="11"/>
      <c r="AB864" s="11"/>
      <c r="AC864" s="11">
        <v>2500</v>
      </c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>
        <v>2500</v>
      </c>
      <c r="AP864" s="11"/>
      <c r="AQ864" s="11"/>
      <c r="AR864" s="11"/>
      <c r="AS864" s="11"/>
      <c r="AT864" s="11"/>
      <c r="AU864" s="20" t="str">
        <f>HYPERLINK("http://www.openstreetmap.org/?mlat=36.6534&amp;mlon=42.5965&amp;zoom=12#map=12/36.6534/42.5965","Maplink1")</f>
        <v>Maplink1</v>
      </c>
      <c r="AV864" s="20" t="str">
        <f>HYPERLINK("https://www.google.iq/maps/search/+36.6534,42.5965/@36.6534,42.5965,14z?hl=en","Maplink2")</f>
        <v>Maplink2</v>
      </c>
      <c r="AW864" s="20" t="str">
        <f>HYPERLINK("http://www.bing.com/maps/?lvl=14&amp;sty=h&amp;cp=36.6534~42.5965&amp;sp=point.36.6534_42.5965","Maplink3")</f>
        <v>Maplink3</v>
      </c>
    </row>
    <row r="865" spans="1:49" s="19" customFormat="1" x14ac:dyDescent="0.25">
      <c r="A865" s="9">
        <v>17617</v>
      </c>
      <c r="B865" s="10" t="s">
        <v>20</v>
      </c>
      <c r="C865" s="10" t="s">
        <v>1244</v>
      </c>
      <c r="D865" s="10" t="s">
        <v>1322</v>
      </c>
      <c r="E865" s="10" t="s">
        <v>1323</v>
      </c>
      <c r="F865" s="10">
        <v>36.553422820000002</v>
      </c>
      <c r="G865" s="10">
        <v>42.512018419999997</v>
      </c>
      <c r="H865" s="11">
        <v>850</v>
      </c>
      <c r="I865" s="11">
        <v>5100</v>
      </c>
      <c r="J865" s="11"/>
      <c r="K865" s="11"/>
      <c r="L865" s="11"/>
      <c r="M865" s="11"/>
      <c r="N865" s="11">
        <v>685</v>
      </c>
      <c r="O865" s="11"/>
      <c r="P865" s="11"/>
      <c r="Q865" s="11"/>
      <c r="R865" s="11"/>
      <c r="S865" s="11"/>
      <c r="T865" s="11"/>
      <c r="U865" s="11"/>
      <c r="V865" s="11">
        <v>165</v>
      </c>
      <c r="W865" s="11"/>
      <c r="X865" s="11"/>
      <c r="Y865" s="11"/>
      <c r="Z865" s="11"/>
      <c r="AA865" s="11"/>
      <c r="AB865" s="11"/>
      <c r="AC865" s="11">
        <v>840</v>
      </c>
      <c r="AD865" s="11">
        <v>10</v>
      </c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>
        <v>850</v>
      </c>
      <c r="AP865" s="11"/>
      <c r="AQ865" s="11"/>
      <c r="AR865" s="11"/>
      <c r="AS865" s="11"/>
      <c r="AT865" s="11"/>
      <c r="AU865" s="20" t="str">
        <f>HYPERLINK("http://www.openstreetmap.org/?mlat=36.5534&amp;mlon=42.512&amp;zoom=12#map=12/36.5534/42.512","Maplink1")</f>
        <v>Maplink1</v>
      </c>
      <c r="AV865" s="20" t="str">
        <f>HYPERLINK("https://www.google.iq/maps/search/+36.5534,42.512/@36.5534,42.512,14z?hl=en","Maplink2")</f>
        <v>Maplink2</v>
      </c>
      <c r="AW865" s="20" t="str">
        <f>HYPERLINK("http://www.bing.com/maps/?lvl=14&amp;sty=h&amp;cp=36.5534~42.512&amp;sp=point.36.5534_42.512","Maplink3")</f>
        <v>Maplink3</v>
      </c>
    </row>
    <row r="866" spans="1:49" s="19" customFormat="1" x14ac:dyDescent="0.25">
      <c r="A866" s="9">
        <v>25689</v>
      </c>
      <c r="B866" s="10" t="s">
        <v>20</v>
      </c>
      <c r="C866" s="10" t="s">
        <v>1244</v>
      </c>
      <c r="D866" s="10" t="s">
        <v>1324</v>
      </c>
      <c r="E866" s="10" t="s">
        <v>1325</v>
      </c>
      <c r="F866" s="10">
        <v>36.578457929999999</v>
      </c>
      <c r="G866" s="10">
        <v>42.644869739999997</v>
      </c>
      <c r="H866" s="11">
        <v>57</v>
      </c>
      <c r="I866" s="11">
        <v>342</v>
      </c>
      <c r="J866" s="11"/>
      <c r="K866" s="11"/>
      <c r="L866" s="11"/>
      <c r="M866" s="11"/>
      <c r="N866" s="11">
        <v>57</v>
      </c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>
        <v>57</v>
      </c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>
        <v>57</v>
      </c>
      <c r="AP866" s="11"/>
      <c r="AQ866" s="11"/>
      <c r="AR866" s="11"/>
      <c r="AS866" s="11"/>
      <c r="AT866" s="11"/>
      <c r="AU866" s="20" t="str">
        <f>HYPERLINK("http://www.openstreetmap.org/?mlat=36.5785&amp;mlon=42.6449&amp;zoom=12#map=12/36.5785/42.6449","Maplink1")</f>
        <v>Maplink1</v>
      </c>
      <c r="AV866" s="20" t="str">
        <f>HYPERLINK("https://www.google.iq/maps/search/+36.5785,42.6449/@36.5785,42.6449,14z?hl=en","Maplink2")</f>
        <v>Maplink2</v>
      </c>
      <c r="AW866" s="20" t="str">
        <f>HYPERLINK("http://www.bing.com/maps/?lvl=14&amp;sty=h&amp;cp=36.5785~42.6449&amp;sp=point.36.5785_42.6449","Maplink3")</f>
        <v>Maplink3</v>
      </c>
    </row>
    <row r="867" spans="1:49" s="19" customFormat="1" x14ac:dyDescent="0.25">
      <c r="A867" s="9">
        <v>23648</v>
      </c>
      <c r="B867" s="10" t="s">
        <v>20</v>
      </c>
      <c r="C867" s="10" t="s">
        <v>1244</v>
      </c>
      <c r="D867" s="10" t="s">
        <v>2172</v>
      </c>
      <c r="E867" s="10" t="s">
        <v>2173</v>
      </c>
      <c r="F867" s="10">
        <v>37.013250499999998</v>
      </c>
      <c r="G867" s="10">
        <v>42.34194814</v>
      </c>
      <c r="H867" s="11">
        <v>40</v>
      </c>
      <c r="I867" s="11">
        <v>240</v>
      </c>
      <c r="J867" s="11"/>
      <c r="K867" s="11"/>
      <c r="L867" s="11"/>
      <c r="M867" s="11"/>
      <c r="N867" s="11">
        <v>40</v>
      </c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>
        <v>40</v>
      </c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>
        <v>40</v>
      </c>
      <c r="AU867" s="20" t="str">
        <f>HYPERLINK("http://www.openstreetmap.org/?mlat=37.0133&amp;mlon=42.3419&amp;zoom=12#map=12/37.0133/42.3419","Maplink1")</f>
        <v>Maplink1</v>
      </c>
      <c r="AV867" s="20" t="str">
        <f>HYPERLINK("https://www.google.iq/maps/search/+37.0133,42.3419/@37.0133,42.3419,14z?hl=en","Maplink2")</f>
        <v>Maplink2</v>
      </c>
      <c r="AW867" s="20" t="str">
        <f>HYPERLINK("http://www.bing.com/maps/?lvl=14&amp;sty=h&amp;cp=37.0133~42.3419&amp;sp=point.37.0133_42.3419","Maplink3")</f>
        <v>Maplink3</v>
      </c>
    </row>
    <row r="868" spans="1:49" s="19" customFormat="1" x14ac:dyDescent="0.25">
      <c r="A868" s="9">
        <v>17587</v>
      </c>
      <c r="B868" s="10" t="s">
        <v>20</v>
      </c>
      <c r="C868" s="10" t="s">
        <v>1244</v>
      </c>
      <c r="D868" s="10" t="s">
        <v>1647</v>
      </c>
      <c r="E868" s="10" t="s">
        <v>1648</v>
      </c>
      <c r="F868" s="10">
        <v>36.568891000000001</v>
      </c>
      <c r="G868" s="10">
        <v>42.741987000000002</v>
      </c>
      <c r="H868" s="11">
        <v>175</v>
      </c>
      <c r="I868" s="11">
        <v>1050</v>
      </c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>
        <v>175</v>
      </c>
      <c r="W868" s="11"/>
      <c r="X868" s="11"/>
      <c r="Y868" s="11"/>
      <c r="Z868" s="11"/>
      <c r="AA868" s="11"/>
      <c r="AB868" s="11"/>
      <c r="AC868" s="11">
        <v>160</v>
      </c>
      <c r="AD868" s="11"/>
      <c r="AE868" s="11"/>
      <c r="AF868" s="11"/>
      <c r="AG868" s="11"/>
      <c r="AH868" s="11"/>
      <c r="AI868" s="11"/>
      <c r="AJ868" s="11"/>
      <c r="AK868" s="11">
        <v>15</v>
      </c>
      <c r="AL868" s="11"/>
      <c r="AM868" s="11"/>
      <c r="AN868" s="11"/>
      <c r="AO868" s="11">
        <v>175</v>
      </c>
      <c r="AP868" s="11"/>
      <c r="AQ868" s="11"/>
      <c r="AR868" s="11"/>
      <c r="AS868" s="11"/>
      <c r="AT868" s="11"/>
      <c r="AU868" s="20" t="str">
        <f>HYPERLINK("http://www.openstreetmap.org/?mlat=36.5689&amp;mlon=42.742&amp;zoom=12#map=12/36.5689/42.742","Maplink1")</f>
        <v>Maplink1</v>
      </c>
      <c r="AV868" s="20" t="str">
        <f>HYPERLINK("https://www.google.iq/maps/search/+36.5689,42.742/@36.5689,42.742,14z?hl=en","Maplink2")</f>
        <v>Maplink2</v>
      </c>
      <c r="AW868" s="20" t="str">
        <f>HYPERLINK("http://www.bing.com/maps/?lvl=14&amp;sty=h&amp;cp=36.5689~42.742&amp;sp=point.36.5689_42.742","Maplink3")</f>
        <v>Maplink3</v>
      </c>
    </row>
    <row r="869" spans="1:49" s="19" customFormat="1" x14ac:dyDescent="0.25">
      <c r="A869" s="9">
        <v>28452</v>
      </c>
      <c r="B869" s="10" t="s">
        <v>20</v>
      </c>
      <c r="C869" s="10" t="s">
        <v>1244</v>
      </c>
      <c r="D869" s="10" t="s">
        <v>1326</v>
      </c>
      <c r="E869" s="10" t="s">
        <v>1327</v>
      </c>
      <c r="F869" s="10">
        <v>36.742294729999998</v>
      </c>
      <c r="G869" s="10">
        <v>42.084245680000002</v>
      </c>
      <c r="H869" s="11">
        <v>40</v>
      </c>
      <c r="I869" s="11">
        <v>240</v>
      </c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>
        <v>40</v>
      </c>
      <c r="W869" s="11"/>
      <c r="X869" s="11"/>
      <c r="Y869" s="11"/>
      <c r="Z869" s="11"/>
      <c r="AA869" s="11"/>
      <c r="AB869" s="11"/>
      <c r="AC869" s="11">
        <v>40</v>
      </c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>
        <v>40</v>
      </c>
      <c r="AQ869" s="11"/>
      <c r="AR869" s="11"/>
      <c r="AS869" s="11"/>
      <c r="AT869" s="11"/>
      <c r="AU869" s="20" t="str">
        <f>HYPERLINK("http://www.openstreetmap.org/?mlat=36.7423&amp;mlon=42.0842&amp;zoom=12#map=12/36.7423/42.0842","Maplink1")</f>
        <v>Maplink1</v>
      </c>
      <c r="AV869" s="20" t="str">
        <f>HYPERLINK("https://www.google.iq/maps/search/+36.7423,42.0842/@36.7423,42.0842,14z?hl=en","Maplink2")</f>
        <v>Maplink2</v>
      </c>
      <c r="AW869" s="20" t="str">
        <f>HYPERLINK("http://www.bing.com/maps/?lvl=14&amp;sty=h&amp;cp=36.7423~42.0842&amp;sp=point.36.7423_42.0842","Maplink3")</f>
        <v>Maplink3</v>
      </c>
    </row>
    <row r="870" spans="1:49" s="19" customFormat="1" x14ac:dyDescent="0.25">
      <c r="A870" s="9">
        <v>33120</v>
      </c>
      <c r="B870" s="10" t="s">
        <v>20</v>
      </c>
      <c r="C870" s="10" t="s">
        <v>1244</v>
      </c>
      <c r="D870" s="10" t="s">
        <v>1649</v>
      </c>
      <c r="E870" s="10" t="s">
        <v>1650</v>
      </c>
      <c r="F870" s="10">
        <v>36.475299999999997</v>
      </c>
      <c r="G870" s="10">
        <v>42.6721</v>
      </c>
      <c r="H870" s="11">
        <v>175</v>
      </c>
      <c r="I870" s="11">
        <v>1050</v>
      </c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>
        <v>175</v>
      </c>
      <c r="W870" s="11"/>
      <c r="X870" s="11"/>
      <c r="Y870" s="11"/>
      <c r="Z870" s="11"/>
      <c r="AA870" s="11"/>
      <c r="AB870" s="11"/>
      <c r="AC870" s="11">
        <v>175</v>
      </c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>
        <v>175</v>
      </c>
      <c r="AQ870" s="11"/>
      <c r="AR870" s="11"/>
      <c r="AS870" s="11"/>
      <c r="AT870" s="11"/>
      <c r="AU870" s="20" t="str">
        <f>HYPERLINK("http://www.openstreetmap.org/?mlat=36.4753&amp;mlon=42.6721&amp;zoom=12#map=12/36.4753/42.6721","Maplink1")</f>
        <v>Maplink1</v>
      </c>
      <c r="AV870" s="20" t="str">
        <f>HYPERLINK("https://www.google.iq/maps/search/+36.4753,42.6721/@36.4753,42.6721,14z?hl=en","Maplink2")</f>
        <v>Maplink2</v>
      </c>
      <c r="AW870" s="20" t="str">
        <f>HYPERLINK("http://www.bing.com/maps/?lvl=14&amp;sty=h&amp;cp=36.4753~42.6721&amp;sp=point.36.4753_42.6721","Maplink3")</f>
        <v>Maplink3</v>
      </c>
    </row>
    <row r="871" spans="1:49" s="19" customFormat="1" x14ac:dyDescent="0.25">
      <c r="A871" s="9">
        <v>18284</v>
      </c>
      <c r="B871" s="10" t="s">
        <v>20</v>
      </c>
      <c r="C871" s="10" t="s">
        <v>1244</v>
      </c>
      <c r="D871" s="10" t="s">
        <v>1651</v>
      </c>
      <c r="E871" s="10" t="s">
        <v>1652</v>
      </c>
      <c r="F871" s="10">
        <v>36.531258000000001</v>
      </c>
      <c r="G871" s="10">
        <v>42.694797999999999</v>
      </c>
      <c r="H871" s="11">
        <v>50</v>
      </c>
      <c r="I871" s="11">
        <v>300</v>
      </c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>
        <v>50</v>
      </c>
      <c r="W871" s="11"/>
      <c r="X871" s="11"/>
      <c r="Y871" s="11"/>
      <c r="Z871" s="11"/>
      <c r="AA871" s="11"/>
      <c r="AB871" s="11"/>
      <c r="AC871" s="11">
        <v>50</v>
      </c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>
        <v>50</v>
      </c>
      <c r="AP871" s="11"/>
      <c r="AQ871" s="11"/>
      <c r="AR871" s="11"/>
      <c r="AS871" s="11"/>
      <c r="AT871" s="11"/>
      <c r="AU871" s="20" t="str">
        <f>HYPERLINK("http://www.openstreetmap.org/?mlat=36.5313&amp;mlon=42.6948&amp;zoom=12#map=12/36.5313/42.6948","Maplink1")</f>
        <v>Maplink1</v>
      </c>
      <c r="AV871" s="20" t="str">
        <f>HYPERLINK("https://www.google.iq/maps/search/+36.5313,42.6948/@36.5313,42.6948,14z?hl=en","Maplink2")</f>
        <v>Maplink2</v>
      </c>
      <c r="AW871" s="20" t="str">
        <f>HYPERLINK("http://www.bing.com/maps/?lvl=14&amp;sty=h&amp;cp=36.5313~42.6948&amp;sp=point.36.5313_42.6948","Maplink3")</f>
        <v>Maplink3</v>
      </c>
    </row>
    <row r="872" spans="1:49" s="19" customFormat="1" x14ac:dyDescent="0.25">
      <c r="A872" s="9">
        <v>17961</v>
      </c>
      <c r="B872" s="10" t="s">
        <v>20</v>
      </c>
      <c r="C872" s="10" t="s">
        <v>1244</v>
      </c>
      <c r="D872" s="10" t="s">
        <v>1992</v>
      </c>
      <c r="E872" s="10" t="s">
        <v>1993</v>
      </c>
      <c r="F872" s="10">
        <v>36.690060000000003</v>
      </c>
      <c r="G872" s="10">
        <v>42.688789999999997</v>
      </c>
      <c r="H872" s="11">
        <v>50</v>
      </c>
      <c r="I872" s="11">
        <v>300</v>
      </c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>
        <v>50</v>
      </c>
      <c r="W872" s="11"/>
      <c r="X872" s="11"/>
      <c r="Y872" s="11"/>
      <c r="Z872" s="11"/>
      <c r="AA872" s="11"/>
      <c r="AB872" s="11"/>
      <c r="AC872" s="11">
        <v>50</v>
      </c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>
        <v>50</v>
      </c>
      <c r="AP872" s="11"/>
      <c r="AQ872" s="11"/>
      <c r="AR872" s="11"/>
      <c r="AS872" s="11"/>
      <c r="AT872" s="11"/>
      <c r="AU872" s="20" t="str">
        <f>HYPERLINK("http://www.openstreetmap.org/?mlat=36.6901&amp;mlon=42.6888&amp;zoom=12#map=12/36.6901/42.6888","Maplink1")</f>
        <v>Maplink1</v>
      </c>
      <c r="AV872" s="20" t="str">
        <f>HYPERLINK("https://www.google.iq/maps/search/+36.6901,42.6888/@36.6901,42.6888,14z?hl=en","Maplink2")</f>
        <v>Maplink2</v>
      </c>
      <c r="AW872" s="20" t="str">
        <f>HYPERLINK("http://www.bing.com/maps/?lvl=14&amp;sty=h&amp;cp=36.6901~42.6888&amp;sp=point.36.6901_42.6888","Maplink3")</f>
        <v>Maplink3</v>
      </c>
    </row>
    <row r="873" spans="1:49" s="19" customFormat="1" x14ac:dyDescent="0.25">
      <c r="A873" s="9">
        <v>17932</v>
      </c>
      <c r="B873" s="10" t="s">
        <v>20</v>
      </c>
      <c r="C873" s="10" t="s">
        <v>1244</v>
      </c>
      <c r="D873" s="10" t="s">
        <v>1328</v>
      </c>
      <c r="E873" s="10" t="s">
        <v>1329</v>
      </c>
      <c r="F873" s="10">
        <v>36.539803599999999</v>
      </c>
      <c r="G873" s="10">
        <v>42.746068549999997</v>
      </c>
      <c r="H873" s="11">
        <v>200</v>
      </c>
      <c r="I873" s="11">
        <v>1200</v>
      </c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>
        <v>200</v>
      </c>
      <c r="W873" s="11"/>
      <c r="X873" s="11"/>
      <c r="Y873" s="11"/>
      <c r="Z873" s="11"/>
      <c r="AA873" s="11"/>
      <c r="AB873" s="11"/>
      <c r="AC873" s="11">
        <v>200</v>
      </c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>
        <v>190</v>
      </c>
      <c r="AP873" s="11"/>
      <c r="AQ873" s="11">
        <v>10</v>
      </c>
      <c r="AR873" s="11"/>
      <c r="AS873" s="11"/>
      <c r="AT873" s="11"/>
      <c r="AU873" s="20" t="str">
        <f>HYPERLINK("http://www.openstreetmap.org/?mlat=36.5398&amp;mlon=42.7461&amp;zoom=12#map=12/36.5398/42.7461","Maplink1")</f>
        <v>Maplink1</v>
      </c>
      <c r="AV873" s="20" t="str">
        <f>HYPERLINK("https://www.google.iq/maps/search/+36.5398,42.7461/@36.5398,42.7461,14z?hl=en","Maplink2")</f>
        <v>Maplink2</v>
      </c>
      <c r="AW873" s="20" t="str">
        <f>HYPERLINK("http://www.bing.com/maps/?lvl=14&amp;sty=h&amp;cp=36.5398~42.7461&amp;sp=point.36.5398_42.7461","Maplink3")</f>
        <v>Maplink3</v>
      </c>
    </row>
    <row r="874" spans="1:49" s="19" customFormat="1" x14ac:dyDescent="0.25">
      <c r="A874" s="9">
        <v>17814</v>
      </c>
      <c r="B874" s="10" t="s">
        <v>20</v>
      </c>
      <c r="C874" s="10" t="s">
        <v>1244</v>
      </c>
      <c r="D874" s="10" t="s">
        <v>1330</v>
      </c>
      <c r="E874" s="10" t="s">
        <v>1994</v>
      </c>
      <c r="F874" s="10">
        <v>36.748451090000003</v>
      </c>
      <c r="G874" s="10">
        <v>42.304420919999998</v>
      </c>
      <c r="H874" s="11">
        <v>480</v>
      </c>
      <c r="I874" s="11">
        <v>2880</v>
      </c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>
        <v>480</v>
      </c>
      <c r="W874" s="11"/>
      <c r="X874" s="11"/>
      <c r="Y874" s="11"/>
      <c r="Z874" s="11"/>
      <c r="AA874" s="11"/>
      <c r="AB874" s="11"/>
      <c r="AC874" s="11">
        <v>480</v>
      </c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>
        <v>480</v>
      </c>
      <c r="AP874" s="11"/>
      <c r="AQ874" s="11"/>
      <c r="AR874" s="11"/>
      <c r="AS874" s="11"/>
      <c r="AT874" s="11"/>
      <c r="AU874" s="20" t="str">
        <f>HYPERLINK("http://www.openstreetmap.org/?mlat=36.7485&amp;mlon=42.3044&amp;zoom=12#map=12/36.7485/42.3044","Maplink1")</f>
        <v>Maplink1</v>
      </c>
      <c r="AV874" s="20" t="str">
        <f>HYPERLINK("https://www.google.iq/maps/search/+36.7485,42.3044/@36.7485,42.3044,14z?hl=en","Maplink2")</f>
        <v>Maplink2</v>
      </c>
      <c r="AW874" s="20" t="str">
        <f>HYPERLINK("http://www.bing.com/maps/?lvl=14&amp;sty=h&amp;cp=36.7485~42.3044&amp;sp=point.36.7485_42.3044","Maplink3")</f>
        <v>Maplink3</v>
      </c>
    </row>
    <row r="875" spans="1:49" s="19" customFormat="1" x14ac:dyDescent="0.25">
      <c r="A875" s="9">
        <v>28433</v>
      </c>
      <c r="B875" s="10" t="s">
        <v>20</v>
      </c>
      <c r="C875" s="10" t="s">
        <v>1244</v>
      </c>
      <c r="D875" s="10" t="s">
        <v>1653</v>
      </c>
      <c r="E875" s="10" t="s">
        <v>1158</v>
      </c>
      <c r="F875" s="10">
        <v>36.428600000000003</v>
      </c>
      <c r="G875" s="10">
        <v>42.676200000000001</v>
      </c>
      <c r="H875" s="11">
        <v>33</v>
      </c>
      <c r="I875" s="11">
        <v>198</v>
      </c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>
        <v>33</v>
      </c>
      <c r="W875" s="11"/>
      <c r="X875" s="11"/>
      <c r="Y875" s="11"/>
      <c r="Z875" s="11"/>
      <c r="AA875" s="11"/>
      <c r="AB875" s="11"/>
      <c r="AC875" s="11">
        <v>33</v>
      </c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>
        <v>33</v>
      </c>
      <c r="AU875" s="20" t="str">
        <f>HYPERLINK("http://www.openstreetmap.org/?mlat=36.4286&amp;mlon=42.6762&amp;zoom=12#map=12/36.4286/42.6762","Maplink1")</f>
        <v>Maplink1</v>
      </c>
      <c r="AV875" s="20" t="str">
        <f>HYPERLINK("https://www.google.iq/maps/search/+36.4286,42.6762/@36.4286,42.6762,14z?hl=en","Maplink2")</f>
        <v>Maplink2</v>
      </c>
      <c r="AW875" s="20" t="str">
        <f>HYPERLINK("http://www.bing.com/maps/?lvl=14&amp;sty=h&amp;cp=36.4286~42.6762&amp;sp=point.36.4286_42.6762","Maplink3")</f>
        <v>Maplink3</v>
      </c>
    </row>
    <row r="876" spans="1:49" s="19" customFormat="1" x14ac:dyDescent="0.25">
      <c r="A876" s="9">
        <v>28438</v>
      </c>
      <c r="B876" s="10" t="s">
        <v>20</v>
      </c>
      <c r="C876" s="10" t="s">
        <v>1244</v>
      </c>
      <c r="D876" s="10" t="s">
        <v>1331</v>
      </c>
      <c r="E876" s="10" t="s">
        <v>1332</v>
      </c>
      <c r="F876" s="10">
        <v>36.791082357900002</v>
      </c>
      <c r="G876" s="10">
        <v>42.174688855100001</v>
      </c>
      <c r="H876" s="11">
        <v>304</v>
      </c>
      <c r="I876" s="11">
        <v>1824</v>
      </c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>
        <v>304</v>
      </c>
      <c r="W876" s="11"/>
      <c r="X876" s="11"/>
      <c r="Y876" s="11"/>
      <c r="Z876" s="11"/>
      <c r="AA876" s="11"/>
      <c r="AB876" s="11"/>
      <c r="AC876" s="11">
        <v>304</v>
      </c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>
        <v>304</v>
      </c>
      <c r="AP876" s="11"/>
      <c r="AQ876" s="11"/>
      <c r="AR876" s="11"/>
      <c r="AS876" s="11"/>
      <c r="AT876" s="11"/>
      <c r="AU876" s="20" t="str">
        <f>HYPERLINK("http://www.openstreetmap.org/?mlat=36.7911&amp;mlon=42.1747&amp;zoom=12#map=12/36.7911/42.1747","Maplink1")</f>
        <v>Maplink1</v>
      </c>
      <c r="AV876" s="20" t="str">
        <f>HYPERLINK("https://www.google.iq/maps/search/+36.7911,42.1747/@36.7911,42.1747,14z?hl=en","Maplink2")</f>
        <v>Maplink2</v>
      </c>
      <c r="AW876" s="20" t="str">
        <f>HYPERLINK("http://www.bing.com/maps/?lvl=14&amp;sty=h&amp;cp=36.7911~42.1747&amp;sp=point.36.7911_42.1747","Maplink3")</f>
        <v>Maplink3</v>
      </c>
    </row>
    <row r="877" spans="1:49" s="19" customFormat="1" x14ac:dyDescent="0.25">
      <c r="A877" s="9">
        <v>17614</v>
      </c>
      <c r="B877" s="10" t="s">
        <v>20</v>
      </c>
      <c r="C877" s="10" t="s">
        <v>1244</v>
      </c>
      <c r="D877" s="10" t="s">
        <v>1333</v>
      </c>
      <c r="E877" s="10" t="s">
        <v>1995</v>
      </c>
      <c r="F877" s="10">
        <v>36.751361260000003</v>
      </c>
      <c r="G877" s="10">
        <v>42.172686140000003</v>
      </c>
      <c r="H877" s="11">
        <v>421</v>
      </c>
      <c r="I877" s="11">
        <v>2526</v>
      </c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>
        <v>421</v>
      </c>
      <c r="W877" s="11"/>
      <c r="X877" s="11"/>
      <c r="Y877" s="11"/>
      <c r="Z877" s="11"/>
      <c r="AA877" s="11"/>
      <c r="AB877" s="11"/>
      <c r="AC877" s="11">
        <v>421</v>
      </c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>
        <v>421</v>
      </c>
      <c r="AP877" s="11"/>
      <c r="AQ877" s="11"/>
      <c r="AR877" s="11"/>
      <c r="AS877" s="11"/>
      <c r="AT877" s="11"/>
      <c r="AU877" s="20" t="str">
        <f>HYPERLINK("http://www.openstreetmap.org/?mlat=36.7514&amp;mlon=42.1727&amp;zoom=12#map=12/36.7514/42.1727","Maplink1")</f>
        <v>Maplink1</v>
      </c>
      <c r="AV877" s="20" t="str">
        <f>HYPERLINK("https://www.google.iq/maps/search/+36.7514,42.1727/@36.7514,42.1727,14z?hl=en","Maplink2")</f>
        <v>Maplink2</v>
      </c>
      <c r="AW877" s="20" t="str">
        <f>HYPERLINK("http://www.bing.com/maps/?lvl=14&amp;sty=h&amp;cp=36.7514~42.1727&amp;sp=point.36.7514_42.1727","Maplink3")</f>
        <v>Maplink3</v>
      </c>
    </row>
    <row r="878" spans="1:49" s="19" customFormat="1" x14ac:dyDescent="0.25">
      <c r="A878" s="9">
        <v>17942</v>
      </c>
      <c r="B878" s="10" t="s">
        <v>20</v>
      </c>
      <c r="C878" s="10" t="s">
        <v>1244</v>
      </c>
      <c r="D878" s="10" t="s">
        <v>1654</v>
      </c>
      <c r="E878" s="10" t="s">
        <v>1655</v>
      </c>
      <c r="F878" s="10">
        <v>36.547100929999999</v>
      </c>
      <c r="G878" s="10">
        <v>42.656137190000003</v>
      </c>
      <c r="H878" s="11">
        <v>32</v>
      </c>
      <c r="I878" s="11">
        <v>192</v>
      </c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>
        <v>32</v>
      </c>
      <c r="W878" s="11"/>
      <c r="X878" s="11"/>
      <c r="Y878" s="11"/>
      <c r="Z878" s="11"/>
      <c r="AA878" s="11"/>
      <c r="AB878" s="11"/>
      <c r="AC878" s="11">
        <v>32</v>
      </c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>
        <v>32</v>
      </c>
      <c r="AP878" s="11"/>
      <c r="AQ878" s="11"/>
      <c r="AR878" s="11"/>
      <c r="AS878" s="11"/>
      <c r="AT878" s="11"/>
      <c r="AU878" s="20" t="str">
        <f>HYPERLINK("http://www.openstreetmap.org/?mlat=36.5471&amp;mlon=42.6561&amp;zoom=12#map=12/36.5471/42.6561","Maplink1")</f>
        <v>Maplink1</v>
      </c>
      <c r="AV878" s="20" t="str">
        <f>HYPERLINK("https://www.google.iq/maps/search/+36.5471,42.6561/@36.5471,42.6561,14z?hl=en","Maplink2")</f>
        <v>Maplink2</v>
      </c>
      <c r="AW878" s="20" t="str">
        <f>HYPERLINK("http://www.bing.com/maps/?lvl=14&amp;sty=h&amp;cp=36.5471~42.6561&amp;sp=point.36.5471_42.6561","Maplink3")</f>
        <v>Maplink3</v>
      </c>
    </row>
    <row r="879" spans="1:49" s="19" customFormat="1" x14ac:dyDescent="0.25">
      <c r="A879" s="9">
        <v>17944</v>
      </c>
      <c r="B879" s="10" t="s">
        <v>20</v>
      </c>
      <c r="C879" s="10" t="s">
        <v>1244</v>
      </c>
      <c r="D879" s="10" t="s">
        <v>1334</v>
      </c>
      <c r="E879" s="10" t="s">
        <v>1335</v>
      </c>
      <c r="F879" s="10">
        <v>36.631470270000001</v>
      </c>
      <c r="G879" s="10">
        <v>42.598216100000002</v>
      </c>
      <c r="H879" s="11">
        <v>810</v>
      </c>
      <c r="I879" s="11">
        <v>4860</v>
      </c>
      <c r="J879" s="11"/>
      <c r="K879" s="11"/>
      <c r="L879" s="11"/>
      <c r="M879" s="11"/>
      <c r="N879" s="11">
        <v>810</v>
      </c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>
        <v>810</v>
      </c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>
        <v>800</v>
      </c>
      <c r="AP879" s="11"/>
      <c r="AQ879" s="11"/>
      <c r="AR879" s="11"/>
      <c r="AS879" s="11"/>
      <c r="AT879" s="11">
        <v>10</v>
      </c>
      <c r="AU879" s="20" t="str">
        <f>HYPERLINK("http://www.openstreetmap.org/?mlat=36.6315&amp;mlon=42.5982&amp;zoom=12#map=12/36.6315/42.5982","Maplink1")</f>
        <v>Maplink1</v>
      </c>
      <c r="AV879" s="20" t="str">
        <f>HYPERLINK("https://www.google.iq/maps/search/+36.6315,42.5982/@36.6315,42.5982,14z?hl=en","Maplink2")</f>
        <v>Maplink2</v>
      </c>
      <c r="AW879" s="20" t="str">
        <f>HYPERLINK("http://www.bing.com/maps/?lvl=14&amp;sty=h&amp;cp=36.6315~42.5982&amp;sp=point.36.6315_42.5982","Maplink3")</f>
        <v>Maplink3</v>
      </c>
    </row>
    <row r="880" spans="1:49" s="19" customFormat="1" x14ac:dyDescent="0.25">
      <c r="A880" s="9">
        <v>28439</v>
      </c>
      <c r="B880" s="10" t="s">
        <v>20</v>
      </c>
      <c r="C880" s="10" t="s">
        <v>1244</v>
      </c>
      <c r="D880" s="10" t="s">
        <v>1336</v>
      </c>
      <c r="E880" s="10" t="s">
        <v>1337</v>
      </c>
      <c r="F880" s="10">
        <v>36.746354500000002</v>
      </c>
      <c r="G880" s="10">
        <v>42.199465330000002</v>
      </c>
      <c r="H880" s="11">
        <v>110</v>
      </c>
      <c r="I880" s="11">
        <v>660</v>
      </c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>
        <v>110</v>
      </c>
      <c r="W880" s="11"/>
      <c r="X880" s="11"/>
      <c r="Y880" s="11"/>
      <c r="Z880" s="11"/>
      <c r="AA880" s="11"/>
      <c r="AB880" s="11"/>
      <c r="AC880" s="11">
        <v>110</v>
      </c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>
        <v>110</v>
      </c>
      <c r="AP880" s="11"/>
      <c r="AQ880" s="11"/>
      <c r="AR880" s="11"/>
      <c r="AS880" s="11"/>
      <c r="AT880" s="11"/>
      <c r="AU880" s="20" t="str">
        <f>HYPERLINK("http://www.openstreetmap.org/?mlat=36.7464&amp;mlon=42.1995&amp;zoom=12#map=12/36.7464/42.1995","Maplink1")</f>
        <v>Maplink1</v>
      </c>
      <c r="AV880" s="20" t="str">
        <f>HYPERLINK("https://www.google.iq/maps/search/+36.7464,42.1995/@36.7464,42.1995,14z?hl=en","Maplink2")</f>
        <v>Maplink2</v>
      </c>
      <c r="AW880" s="20" t="str">
        <f>HYPERLINK("http://www.bing.com/maps/?lvl=14&amp;sty=h&amp;cp=36.7464~42.1995&amp;sp=point.36.7464_42.1995","Maplink3")</f>
        <v>Maplink3</v>
      </c>
    </row>
    <row r="881" spans="1:49" s="19" customFormat="1" x14ac:dyDescent="0.25">
      <c r="A881" s="9">
        <v>28444</v>
      </c>
      <c r="B881" s="10" t="s">
        <v>20</v>
      </c>
      <c r="C881" s="10" t="s">
        <v>1244</v>
      </c>
      <c r="D881" s="10" t="s">
        <v>1338</v>
      </c>
      <c r="E881" s="10" t="s">
        <v>1339</v>
      </c>
      <c r="F881" s="10">
        <v>36.716690829999997</v>
      </c>
      <c r="G881" s="10">
        <v>42.352300190000001</v>
      </c>
      <c r="H881" s="11">
        <v>170</v>
      </c>
      <c r="I881" s="11">
        <v>1020</v>
      </c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>
        <v>170</v>
      </c>
      <c r="W881" s="11"/>
      <c r="X881" s="11"/>
      <c r="Y881" s="11"/>
      <c r="Z881" s="11"/>
      <c r="AA881" s="11"/>
      <c r="AB881" s="11"/>
      <c r="AC881" s="11">
        <v>170</v>
      </c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>
        <v>170</v>
      </c>
      <c r="AP881" s="11"/>
      <c r="AQ881" s="11"/>
      <c r="AR881" s="11"/>
      <c r="AS881" s="11"/>
      <c r="AT881" s="11"/>
      <c r="AU881" s="20" t="str">
        <f>HYPERLINK("http://www.openstreetmap.org/?mlat=36.7167&amp;mlon=42.3523&amp;zoom=12#map=12/36.7167/42.3523","Maplink1")</f>
        <v>Maplink1</v>
      </c>
      <c r="AV881" s="20" t="str">
        <f>HYPERLINK("https://www.google.iq/maps/search/+36.7167,42.3523/@36.7167,42.3523,14z?hl=en","Maplink2")</f>
        <v>Maplink2</v>
      </c>
      <c r="AW881" s="20" t="str">
        <f>HYPERLINK("http://www.bing.com/maps/?lvl=14&amp;sty=h&amp;cp=36.7167~42.3523&amp;sp=point.36.7167_42.3523","Maplink3")</f>
        <v>Maplink3</v>
      </c>
    </row>
    <row r="882" spans="1:49" s="19" customFormat="1" x14ac:dyDescent="0.25">
      <c r="A882" s="9">
        <v>22955</v>
      </c>
      <c r="B882" s="10" t="s">
        <v>20</v>
      </c>
      <c r="C882" s="10" t="s">
        <v>1244</v>
      </c>
      <c r="D882" s="10" t="s">
        <v>2174</v>
      </c>
      <c r="E882" s="10" t="s">
        <v>2175</v>
      </c>
      <c r="F882" s="10">
        <v>36.457399000000002</v>
      </c>
      <c r="G882" s="10">
        <v>42.685077999999997</v>
      </c>
      <c r="H882" s="11">
        <v>25</v>
      </c>
      <c r="I882" s="11">
        <v>150</v>
      </c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>
        <v>25</v>
      </c>
      <c r="W882" s="11"/>
      <c r="X882" s="11"/>
      <c r="Y882" s="11"/>
      <c r="Z882" s="11"/>
      <c r="AA882" s="11"/>
      <c r="AB882" s="11"/>
      <c r="AC882" s="11">
        <v>25</v>
      </c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>
        <v>25</v>
      </c>
      <c r="AU882" s="20" t="str">
        <f>HYPERLINK("http://www.openstreetmap.org/?mlat=36.4574&amp;mlon=42.6851&amp;zoom=12#map=12/36.4574/42.6851","Maplink1")</f>
        <v>Maplink1</v>
      </c>
      <c r="AV882" s="20" t="str">
        <f>HYPERLINK("https://www.google.iq/maps/search/+36.4574,42.6851/@36.4574,42.6851,14z?hl=en","Maplink2")</f>
        <v>Maplink2</v>
      </c>
      <c r="AW882" s="20" t="str">
        <f>HYPERLINK("http://www.bing.com/maps/?lvl=14&amp;sty=h&amp;cp=36.4574~42.6851&amp;sp=point.36.4574_42.6851","Maplink3")</f>
        <v>Maplink3</v>
      </c>
    </row>
    <row r="883" spans="1:49" s="19" customFormat="1" x14ac:dyDescent="0.25">
      <c r="A883" s="9">
        <v>17933</v>
      </c>
      <c r="B883" s="10" t="s">
        <v>20</v>
      </c>
      <c r="C883" s="10" t="s">
        <v>1244</v>
      </c>
      <c r="D883" s="10" t="s">
        <v>1656</v>
      </c>
      <c r="E883" s="10" t="s">
        <v>1657</v>
      </c>
      <c r="F883" s="10">
        <v>36.509771000000001</v>
      </c>
      <c r="G883" s="10">
        <v>42.671863000000002</v>
      </c>
      <c r="H883" s="11">
        <v>18</v>
      </c>
      <c r="I883" s="11">
        <v>108</v>
      </c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>
        <v>18</v>
      </c>
      <c r="W883" s="11"/>
      <c r="X883" s="11"/>
      <c r="Y883" s="11"/>
      <c r="Z883" s="11"/>
      <c r="AA883" s="11"/>
      <c r="AB883" s="11"/>
      <c r="AC883" s="11">
        <v>18</v>
      </c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>
        <v>18</v>
      </c>
      <c r="AQ883" s="11"/>
      <c r="AR883" s="11"/>
      <c r="AS883" s="11"/>
      <c r="AT883" s="11"/>
      <c r="AU883" s="20" t="str">
        <f>HYPERLINK("http://www.openstreetmap.org/?mlat=36.5098&amp;mlon=42.6719&amp;zoom=12#map=12/36.5098/42.6719","Maplink1")</f>
        <v>Maplink1</v>
      </c>
      <c r="AV883" s="20" t="str">
        <f>HYPERLINK("https://www.google.iq/maps/search/+36.5098,42.6719/@36.5098,42.6719,14z?hl=en","Maplink2")</f>
        <v>Maplink2</v>
      </c>
      <c r="AW883" s="20" t="str">
        <f>HYPERLINK("http://www.bing.com/maps/?lvl=14&amp;sty=h&amp;cp=36.5098~42.6719&amp;sp=point.36.5098_42.6719","Maplink3")</f>
        <v>Maplink3</v>
      </c>
    </row>
    <row r="884" spans="1:49" s="19" customFormat="1" x14ac:dyDescent="0.25">
      <c r="A884" s="9">
        <v>27356</v>
      </c>
      <c r="B884" s="10" t="s">
        <v>20</v>
      </c>
      <c r="C884" s="10" t="s">
        <v>1244</v>
      </c>
      <c r="D884" s="10" t="s">
        <v>1340</v>
      </c>
      <c r="E884" s="10" t="s">
        <v>1341</v>
      </c>
      <c r="F884" s="10">
        <v>36.499491291399998</v>
      </c>
      <c r="G884" s="10">
        <v>42.1418071919</v>
      </c>
      <c r="H884" s="11">
        <v>111</v>
      </c>
      <c r="I884" s="11">
        <v>666</v>
      </c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>
        <v>111</v>
      </c>
      <c r="W884" s="11"/>
      <c r="X884" s="11"/>
      <c r="Y884" s="11"/>
      <c r="Z884" s="11"/>
      <c r="AA884" s="11"/>
      <c r="AB884" s="11"/>
      <c r="AC884" s="11">
        <v>111</v>
      </c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>
        <v>111</v>
      </c>
      <c r="AQ884" s="11"/>
      <c r="AR884" s="11"/>
      <c r="AS884" s="11"/>
      <c r="AT884" s="11"/>
      <c r="AU884" s="20" t="str">
        <f>HYPERLINK("http://www.openstreetmap.org/?mlat=36.4995&amp;mlon=42.1418&amp;zoom=12#map=12/36.4995/42.1418","Maplink1")</f>
        <v>Maplink1</v>
      </c>
      <c r="AV884" s="20" t="str">
        <f>HYPERLINK("https://www.google.iq/maps/search/+36.4995,42.1418/@36.4995,42.1418,14z?hl=en","Maplink2")</f>
        <v>Maplink2</v>
      </c>
      <c r="AW884" s="20" t="str">
        <f>HYPERLINK("http://www.bing.com/maps/?lvl=14&amp;sty=h&amp;cp=36.4995~42.1418&amp;sp=point.36.4995_42.1418","Maplink3")</f>
        <v>Maplink3</v>
      </c>
    </row>
    <row r="885" spans="1:49" s="19" customFormat="1" x14ac:dyDescent="0.25">
      <c r="A885" s="9">
        <v>25819</v>
      </c>
      <c r="B885" s="10" t="s">
        <v>20</v>
      </c>
      <c r="C885" s="10" t="s">
        <v>1244</v>
      </c>
      <c r="D885" s="10" t="s">
        <v>1996</v>
      </c>
      <c r="E885" s="10" t="s">
        <v>675</v>
      </c>
      <c r="F885" s="10">
        <v>36.373399999999997</v>
      </c>
      <c r="G885" s="10">
        <v>42.4651</v>
      </c>
      <c r="H885" s="11">
        <v>53</v>
      </c>
      <c r="I885" s="11">
        <v>318</v>
      </c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>
        <v>53</v>
      </c>
      <c r="W885" s="11"/>
      <c r="X885" s="11"/>
      <c r="Y885" s="11"/>
      <c r="Z885" s="11"/>
      <c r="AA885" s="11"/>
      <c r="AB885" s="11"/>
      <c r="AC885" s="11">
        <v>53</v>
      </c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>
        <v>53</v>
      </c>
      <c r="AP885" s="11"/>
      <c r="AQ885" s="11"/>
      <c r="AR885" s="11"/>
      <c r="AS885" s="11"/>
      <c r="AT885" s="11"/>
      <c r="AU885" s="20" t="str">
        <f>HYPERLINK("http://www.openstreetmap.org/?mlat=36.3734&amp;mlon=42.4651&amp;zoom=12#map=12/36.3734/42.4651","Maplink1")</f>
        <v>Maplink1</v>
      </c>
      <c r="AV885" s="20" t="str">
        <f>HYPERLINK("https://www.google.iq/maps/search/+36.3734,42.4651/@36.3734,42.4651,14z?hl=en","Maplink2")</f>
        <v>Maplink2</v>
      </c>
      <c r="AW885" s="20" t="str">
        <f>HYPERLINK("http://www.bing.com/maps/?lvl=14&amp;sty=h&amp;cp=36.3734~42.4651&amp;sp=point.36.3734_42.4651","Maplink3")</f>
        <v>Maplink3</v>
      </c>
    </row>
    <row r="886" spans="1:49" s="19" customFormat="1" x14ac:dyDescent="0.25">
      <c r="A886" s="9">
        <v>25705</v>
      </c>
      <c r="B886" s="10" t="s">
        <v>20</v>
      </c>
      <c r="C886" s="10" t="s">
        <v>1244</v>
      </c>
      <c r="D886" s="10" t="s">
        <v>1342</v>
      </c>
      <c r="E886" s="10" t="s">
        <v>1343</v>
      </c>
      <c r="F886" s="10">
        <v>36.576739179999997</v>
      </c>
      <c r="G886" s="10">
        <v>42.605259719999999</v>
      </c>
      <c r="H886" s="11">
        <v>25</v>
      </c>
      <c r="I886" s="11">
        <v>150</v>
      </c>
      <c r="J886" s="11"/>
      <c r="K886" s="11"/>
      <c r="L886" s="11"/>
      <c r="M886" s="11"/>
      <c r="N886" s="11">
        <v>25</v>
      </c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>
        <v>25</v>
      </c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>
        <v>25</v>
      </c>
      <c r="AP886" s="11"/>
      <c r="AQ886" s="11"/>
      <c r="AR886" s="11"/>
      <c r="AS886" s="11"/>
      <c r="AT886" s="11"/>
      <c r="AU886" s="20" t="str">
        <f>HYPERLINK("http://www.openstreetmap.org/?mlat=36.5767&amp;mlon=42.6053&amp;zoom=12#map=12/36.5767/42.6053","Maplink1")</f>
        <v>Maplink1</v>
      </c>
      <c r="AV886" s="20" t="str">
        <f>HYPERLINK("https://www.google.iq/maps/search/+36.5767,42.6053/@36.5767,42.6053,14z?hl=en","Maplink2")</f>
        <v>Maplink2</v>
      </c>
      <c r="AW886" s="20" t="str">
        <f>HYPERLINK("http://www.bing.com/maps/?lvl=14&amp;sty=h&amp;cp=36.5767~42.6053&amp;sp=point.36.5767_42.6053","Maplink3")</f>
        <v>Maplink3</v>
      </c>
    </row>
    <row r="887" spans="1:49" s="19" customFormat="1" x14ac:dyDescent="0.25">
      <c r="A887" s="9">
        <v>24600</v>
      </c>
      <c r="B887" s="10" t="s">
        <v>20</v>
      </c>
      <c r="C887" s="10" t="s">
        <v>1344</v>
      </c>
      <c r="D887" s="10" t="s">
        <v>1345</v>
      </c>
      <c r="E887" s="10" t="s">
        <v>1346</v>
      </c>
      <c r="F887" s="10">
        <v>36.446542000000001</v>
      </c>
      <c r="G887" s="10">
        <v>43.102502999999999</v>
      </c>
      <c r="H887" s="11">
        <v>130</v>
      </c>
      <c r="I887" s="11">
        <v>780</v>
      </c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>
        <v>130</v>
      </c>
      <c r="W887" s="11"/>
      <c r="X887" s="11"/>
      <c r="Y887" s="11"/>
      <c r="Z887" s="11"/>
      <c r="AA887" s="11"/>
      <c r="AB887" s="11"/>
      <c r="AC887" s="11">
        <v>130</v>
      </c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>
        <v>130</v>
      </c>
      <c r="AT887" s="11"/>
      <c r="AU887" s="20" t="str">
        <f>HYPERLINK("http://www.openstreetmap.org/?mlat=36.4465&amp;mlon=43.1025&amp;zoom=12#map=12/36.4465/43.1025","Maplink1")</f>
        <v>Maplink1</v>
      </c>
      <c r="AV887" s="20" t="str">
        <f>HYPERLINK("https://www.google.iq/maps/search/+36.4465,43.1025/@36.4465,43.1025,14z?hl=en","Maplink2")</f>
        <v>Maplink2</v>
      </c>
      <c r="AW887" s="20" t="str">
        <f>HYPERLINK("http://www.bing.com/maps/?lvl=14&amp;sty=h&amp;cp=36.4465~43.1025&amp;sp=point.36.4465_43.1025","Maplink3")</f>
        <v>Maplink3</v>
      </c>
    </row>
    <row r="888" spans="1:49" s="19" customFormat="1" x14ac:dyDescent="0.25">
      <c r="A888" s="9">
        <v>24682</v>
      </c>
      <c r="B888" s="10" t="s">
        <v>20</v>
      </c>
      <c r="C888" s="10" t="s">
        <v>1344</v>
      </c>
      <c r="D888" s="10" t="s">
        <v>1347</v>
      </c>
      <c r="E888" s="10" t="s">
        <v>1348</v>
      </c>
      <c r="F888" s="10">
        <v>36.401285000000001</v>
      </c>
      <c r="G888" s="10">
        <v>43.044269</v>
      </c>
      <c r="H888" s="11">
        <v>3600</v>
      </c>
      <c r="I888" s="11">
        <v>21600</v>
      </c>
      <c r="J888" s="11"/>
      <c r="K888" s="11">
        <v>170</v>
      </c>
      <c r="L888" s="11">
        <v>90</v>
      </c>
      <c r="M888" s="11">
        <v>215</v>
      </c>
      <c r="N888" s="11">
        <v>25</v>
      </c>
      <c r="O888" s="11"/>
      <c r="P888" s="11"/>
      <c r="Q888" s="11">
        <v>930</v>
      </c>
      <c r="R888" s="11"/>
      <c r="S888" s="11">
        <v>80</v>
      </c>
      <c r="T888" s="11"/>
      <c r="U888" s="11">
        <v>875</v>
      </c>
      <c r="V888" s="11">
        <v>1050</v>
      </c>
      <c r="W888" s="11"/>
      <c r="X888" s="11"/>
      <c r="Y888" s="11"/>
      <c r="Z888" s="11">
        <v>165</v>
      </c>
      <c r="AA888" s="11"/>
      <c r="AB888" s="11"/>
      <c r="AC888" s="11">
        <v>3600</v>
      </c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>
        <v>2550</v>
      </c>
      <c r="AP888" s="11"/>
      <c r="AQ888" s="11"/>
      <c r="AR888" s="11"/>
      <c r="AS888" s="11">
        <v>1050</v>
      </c>
      <c r="AT888" s="11"/>
      <c r="AU888" s="20" t="str">
        <f>HYPERLINK("http://www.openstreetmap.org/?mlat=36.4013&amp;mlon=43.0443&amp;zoom=12#map=12/36.4013/43.0443","Maplink1")</f>
        <v>Maplink1</v>
      </c>
      <c r="AV888" s="20" t="str">
        <f>HYPERLINK("https://www.google.iq/maps/search/+36.4013,43.0443/@36.4013,43.0443,14z?hl=en","Maplink2")</f>
        <v>Maplink2</v>
      </c>
      <c r="AW888" s="20" t="str">
        <f>HYPERLINK("http://www.bing.com/maps/?lvl=14&amp;sty=h&amp;cp=36.4013~43.0443&amp;sp=point.36.4013_43.0443","Maplink3")</f>
        <v>Maplink3</v>
      </c>
    </row>
    <row r="889" spans="1:49" s="19" customFormat="1" x14ac:dyDescent="0.25">
      <c r="A889" s="9">
        <v>17462</v>
      </c>
      <c r="B889" s="10" t="s">
        <v>20</v>
      </c>
      <c r="C889" s="10" t="s">
        <v>1344</v>
      </c>
      <c r="D889" s="10" t="s">
        <v>1997</v>
      </c>
      <c r="E889" s="10" t="s">
        <v>1998</v>
      </c>
      <c r="F889" s="10">
        <v>36.498156000000002</v>
      </c>
      <c r="G889" s="10">
        <v>42.865471999999997</v>
      </c>
      <c r="H889" s="11">
        <v>62</v>
      </c>
      <c r="I889" s="11">
        <v>372</v>
      </c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>
        <v>62</v>
      </c>
      <c r="W889" s="11"/>
      <c r="X889" s="11"/>
      <c r="Y889" s="11"/>
      <c r="Z889" s="11"/>
      <c r="AA889" s="11"/>
      <c r="AB889" s="11"/>
      <c r="AC889" s="11">
        <v>62</v>
      </c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>
        <v>62</v>
      </c>
      <c r="AP889" s="11"/>
      <c r="AQ889" s="11"/>
      <c r="AR889" s="11"/>
      <c r="AS889" s="11"/>
      <c r="AT889" s="11"/>
      <c r="AU889" s="20" t="str">
        <f>HYPERLINK("http://www.openstreetmap.org/?mlat=36.4982&amp;mlon=42.8655&amp;zoom=12#map=12/36.4982/42.8655","Maplink1")</f>
        <v>Maplink1</v>
      </c>
      <c r="AV889" s="20" t="str">
        <f>HYPERLINK("https://www.google.iq/maps/search/+36.4982,42.8655/@36.4982,42.8655,14z?hl=en","Maplink2")</f>
        <v>Maplink2</v>
      </c>
      <c r="AW889" s="20" t="str">
        <f>HYPERLINK("http://www.bing.com/maps/?lvl=14&amp;sty=h&amp;cp=36.4982~42.8655&amp;sp=point.36.4982_42.8655","Maplink3")</f>
        <v>Maplink3</v>
      </c>
    </row>
    <row r="890" spans="1:49" s="19" customFormat="1" x14ac:dyDescent="0.25">
      <c r="A890" s="9">
        <v>21603</v>
      </c>
      <c r="B890" s="10" t="s">
        <v>20</v>
      </c>
      <c r="C890" s="10" t="s">
        <v>1344</v>
      </c>
      <c r="D890" s="10" t="s">
        <v>1349</v>
      </c>
      <c r="E890" s="10" t="s">
        <v>1350</v>
      </c>
      <c r="F890" s="10">
        <v>36.430374999999998</v>
      </c>
      <c r="G890" s="10">
        <v>43.157958999999998</v>
      </c>
      <c r="H890" s="11">
        <v>930</v>
      </c>
      <c r="I890" s="11">
        <v>5580</v>
      </c>
      <c r="J890" s="11"/>
      <c r="K890" s="11"/>
      <c r="L890" s="11"/>
      <c r="M890" s="11"/>
      <c r="N890" s="11">
        <v>10</v>
      </c>
      <c r="O890" s="11"/>
      <c r="P890" s="11"/>
      <c r="Q890" s="11">
        <v>5</v>
      </c>
      <c r="R890" s="11"/>
      <c r="S890" s="11"/>
      <c r="T890" s="11"/>
      <c r="U890" s="11">
        <v>30</v>
      </c>
      <c r="V890" s="11">
        <v>860</v>
      </c>
      <c r="W890" s="11">
        <v>25</v>
      </c>
      <c r="X890" s="11"/>
      <c r="Y890" s="11"/>
      <c r="Z890" s="11"/>
      <c r="AA890" s="11"/>
      <c r="AB890" s="11"/>
      <c r="AC890" s="11">
        <v>930</v>
      </c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>
        <v>70</v>
      </c>
      <c r="AP890" s="11"/>
      <c r="AQ890" s="11"/>
      <c r="AR890" s="11"/>
      <c r="AS890" s="11">
        <v>860</v>
      </c>
      <c r="AT890" s="11"/>
      <c r="AU890" s="20" t="str">
        <f>HYPERLINK("http://www.openstreetmap.org/?mlat=36.4304&amp;mlon=43.158&amp;zoom=12#map=12/36.4304/43.158","Maplink1")</f>
        <v>Maplink1</v>
      </c>
      <c r="AV890" s="20" t="str">
        <f>HYPERLINK("https://www.google.iq/maps/search/+36.4304,43.158/@36.4304,43.158,14z?hl=en","Maplink2")</f>
        <v>Maplink2</v>
      </c>
      <c r="AW890" s="20" t="str">
        <f>HYPERLINK("http://www.bing.com/maps/?lvl=14&amp;sty=h&amp;cp=36.4304~43.158&amp;sp=point.36.4304_43.158","Maplink3")</f>
        <v>Maplink3</v>
      </c>
    </row>
    <row r="891" spans="1:49" s="19" customFormat="1" x14ac:dyDescent="0.25">
      <c r="A891" s="9">
        <v>17572</v>
      </c>
      <c r="B891" s="10" t="s">
        <v>20</v>
      </c>
      <c r="C891" s="10" t="s">
        <v>1344</v>
      </c>
      <c r="D891" s="10" t="s">
        <v>1351</v>
      </c>
      <c r="E891" s="10" t="s">
        <v>1352</v>
      </c>
      <c r="F891" s="10">
        <v>36.596669609999999</v>
      </c>
      <c r="G891" s="10">
        <v>42.878349960000001</v>
      </c>
      <c r="H891" s="11">
        <v>119</v>
      </c>
      <c r="I891" s="11">
        <v>714</v>
      </c>
      <c r="J891" s="11"/>
      <c r="K891" s="11"/>
      <c r="L891" s="11"/>
      <c r="M891" s="11"/>
      <c r="N891" s="11">
        <v>119</v>
      </c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>
        <v>119</v>
      </c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>
        <v>119</v>
      </c>
      <c r="AP891" s="11"/>
      <c r="AQ891" s="11"/>
      <c r="AR891" s="11"/>
      <c r="AS891" s="11"/>
      <c r="AT891" s="11"/>
      <c r="AU891" s="20" t="str">
        <f>HYPERLINK("http://www.openstreetmap.org/?mlat=36.5967&amp;mlon=42.8783&amp;zoom=12#map=12/36.5967/42.8783","Maplink1")</f>
        <v>Maplink1</v>
      </c>
      <c r="AV891" s="20" t="str">
        <f>HYPERLINK("https://www.google.iq/maps/search/+36.5967,42.8783/@36.5967,42.8783,14z?hl=en","Maplink2")</f>
        <v>Maplink2</v>
      </c>
      <c r="AW891" s="20" t="str">
        <f>HYPERLINK("http://www.bing.com/maps/?lvl=14&amp;sty=h&amp;cp=36.5967~42.8783&amp;sp=point.36.5967_42.8783","Maplink3")</f>
        <v>Maplink3</v>
      </c>
    </row>
    <row r="892" spans="1:49" s="19" customFormat="1" x14ac:dyDescent="0.25">
      <c r="A892" s="9">
        <v>17605</v>
      </c>
      <c r="B892" s="10" t="s">
        <v>20</v>
      </c>
      <c r="C892" s="10" t="s">
        <v>1344</v>
      </c>
      <c r="D892" s="10" t="s">
        <v>1353</v>
      </c>
      <c r="E892" s="10" t="s">
        <v>1354</v>
      </c>
      <c r="F892" s="10">
        <v>36.543928000000001</v>
      </c>
      <c r="G892" s="10">
        <v>43.024113999999997</v>
      </c>
      <c r="H892" s="11">
        <v>103</v>
      </c>
      <c r="I892" s="11">
        <v>618</v>
      </c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>
        <v>103</v>
      </c>
      <c r="W892" s="11"/>
      <c r="X892" s="11"/>
      <c r="Y892" s="11"/>
      <c r="Z892" s="11"/>
      <c r="AA892" s="11"/>
      <c r="AB892" s="11"/>
      <c r="AC892" s="11">
        <v>103</v>
      </c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>
        <v>103</v>
      </c>
      <c r="AP892" s="11"/>
      <c r="AQ892" s="11"/>
      <c r="AR892" s="11"/>
      <c r="AS892" s="11"/>
      <c r="AT892" s="11"/>
      <c r="AU892" s="20" t="str">
        <f>HYPERLINK("http://www.openstreetmap.org/?mlat=36.5439&amp;mlon=43.0241&amp;zoom=12#map=12/36.5439/43.0241","Maplink1")</f>
        <v>Maplink1</v>
      </c>
      <c r="AV892" s="20" t="str">
        <f>HYPERLINK("https://www.google.iq/maps/search/+36.5439,43.0241/@36.5439,43.0241,14z?hl=en","Maplink2")</f>
        <v>Maplink2</v>
      </c>
      <c r="AW892" s="20" t="str">
        <f>HYPERLINK("http://www.bing.com/maps/?lvl=14&amp;sty=h&amp;cp=36.5439~43.0241&amp;sp=point.36.5439_43.0241","Maplink3")</f>
        <v>Maplink3</v>
      </c>
    </row>
    <row r="893" spans="1:49" s="19" customFormat="1" x14ac:dyDescent="0.25">
      <c r="A893" s="9">
        <v>17758</v>
      </c>
      <c r="B893" s="10" t="s">
        <v>20</v>
      </c>
      <c r="C893" s="10" t="s">
        <v>1344</v>
      </c>
      <c r="D893" s="10" t="s">
        <v>2176</v>
      </c>
      <c r="E893" s="10" t="s">
        <v>2177</v>
      </c>
      <c r="F893" s="10">
        <v>36.588197000000001</v>
      </c>
      <c r="G893" s="10">
        <v>43.130383999999999</v>
      </c>
      <c r="H893" s="11">
        <v>47</v>
      </c>
      <c r="I893" s="11">
        <v>282</v>
      </c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>
        <v>47</v>
      </c>
      <c r="W893" s="11"/>
      <c r="X893" s="11"/>
      <c r="Y893" s="11"/>
      <c r="Z893" s="11"/>
      <c r="AA893" s="11"/>
      <c r="AB893" s="11"/>
      <c r="AC893" s="11">
        <v>47</v>
      </c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>
        <v>47</v>
      </c>
      <c r="AP893" s="11"/>
      <c r="AQ893" s="11"/>
      <c r="AR893" s="11"/>
      <c r="AS893" s="11"/>
      <c r="AT893" s="11"/>
      <c r="AU893" s="20" t="str">
        <f>HYPERLINK("http://www.openstreetmap.org/?mlat=36.5882&amp;mlon=43.1304&amp;zoom=12#map=12/36.5882/43.1304","Maplink1")</f>
        <v>Maplink1</v>
      </c>
      <c r="AV893" s="20" t="str">
        <f>HYPERLINK("https://www.google.iq/maps/search/+36.5882,43.1304/@36.5882,43.1304,14z?hl=en","Maplink2")</f>
        <v>Maplink2</v>
      </c>
      <c r="AW893" s="20" t="str">
        <f>HYPERLINK("http://www.bing.com/maps/?lvl=14&amp;sty=h&amp;cp=36.5882~43.1304&amp;sp=point.36.5882_43.1304","Maplink3")</f>
        <v>Maplink3</v>
      </c>
    </row>
    <row r="894" spans="1:49" s="19" customFormat="1" x14ac:dyDescent="0.25">
      <c r="A894" s="9">
        <v>17568</v>
      </c>
      <c r="B894" s="10" t="s">
        <v>20</v>
      </c>
      <c r="C894" s="10" t="s">
        <v>1344</v>
      </c>
      <c r="D894" s="10" t="s">
        <v>1355</v>
      </c>
      <c r="E894" s="10" t="s">
        <v>1356</v>
      </c>
      <c r="F894" s="10">
        <v>36.576873999999997</v>
      </c>
      <c r="G894" s="10">
        <v>43.174235000000003</v>
      </c>
      <c r="H894" s="11">
        <v>11</v>
      </c>
      <c r="I894" s="11">
        <v>66</v>
      </c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>
        <v>11</v>
      </c>
      <c r="W894" s="11"/>
      <c r="X894" s="11"/>
      <c r="Y894" s="11"/>
      <c r="Z894" s="11"/>
      <c r="AA894" s="11"/>
      <c r="AB894" s="11"/>
      <c r="AC894" s="11">
        <v>11</v>
      </c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>
        <v>11</v>
      </c>
      <c r="AP894" s="11"/>
      <c r="AQ894" s="11"/>
      <c r="AR894" s="11"/>
      <c r="AS894" s="11"/>
      <c r="AT894" s="11"/>
      <c r="AU894" s="20" t="str">
        <f>HYPERLINK("http://www.openstreetmap.org/?mlat=36.5769&amp;mlon=43.1742&amp;zoom=12#map=12/36.5769/43.1742","Maplink1")</f>
        <v>Maplink1</v>
      </c>
      <c r="AV894" s="20" t="str">
        <f>HYPERLINK("https://www.google.iq/maps/search/+36.5769,43.1742/@36.5769,43.1742,14z?hl=en","Maplink2")</f>
        <v>Maplink2</v>
      </c>
      <c r="AW894" s="20" t="str">
        <f>HYPERLINK("http://www.bing.com/maps/?lvl=14&amp;sty=h&amp;cp=36.5769~43.1742&amp;sp=point.36.5769_43.1742","Maplink3")</f>
        <v>Maplink3</v>
      </c>
    </row>
    <row r="895" spans="1:49" s="19" customFormat="1" x14ac:dyDescent="0.25">
      <c r="A895" s="9">
        <v>17949</v>
      </c>
      <c r="B895" s="10" t="s">
        <v>20</v>
      </c>
      <c r="C895" s="10" t="s">
        <v>1344</v>
      </c>
      <c r="D895" s="10" t="s">
        <v>1357</v>
      </c>
      <c r="E895" s="10" t="s">
        <v>1358</v>
      </c>
      <c r="F895" s="10">
        <v>36.678976759999998</v>
      </c>
      <c r="G895" s="10">
        <v>43.012809500000003</v>
      </c>
      <c r="H895" s="11">
        <v>250</v>
      </c>
      <c r="I895" s="11">
        <v>1500</v>
      </c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>
        <v>250</v>
      </c>
      <c r="W895" s="11"/>
      <c r="X895" s="11"/>
      <c r="Y895" s="11"/>
      <c r="Z895" s="11"/>
      <c r="AA895" s="11"/>
      <c r="AB895" s="11"/>
      <c r="AC895" s="11">
        <v>250</v>
      </c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>
        <v>250</v>
      </c>
      <c r="AP895" s="11"/>
      <c r="AQ895" s="11"/>
      <c r="AR895" s="11"/>
      <c r="AS895" s="11"/>
      <c r="AT895" s="11"/>
      <c r="AU895" s="20" t="str">
        <f>HYPERLINK("http://www.openstreetmap.org/?mlat=36.679&amp;mlon=43.0128&amp;zoom=12#map=12/36.679/43.0128","Maplink1")</f>
        <v>Maplink1</v>
      </c>
      <c r="AV895" s="20" t="str">
        <f>HYPERLINK("https://www.google.iq/maps/search/+36.679,43.0128/@36.679,43.0128,14z?hl=en","Maplink2")</f>
        <v>Maplink2</v>
      </c>
      <c r="AW895" s="20" t="str">
        <f>HYPERLINK("http://www.bing.com/maps/?lvl=14&amp;sty=h&amp;cp=36.679~43.0128&amp;sp=point.36.679_43.0128","Maplink3")</f>
        <v>Maplink3</v>
      </c>
    </row>
    <row r="896" spans="1:49" s="19" customFormat="1" x14ac:dyDescent="0.25">
      <c r="A896" s="9">
        <v>18044</v>
      </c>
      <c r="B896" s="10" t="s">
        <v>20</v>
      </c>
      <c r="C896" s="10" t="s">
        <v>1344</v>
      </c>
      <c r="D896" s="10" t="s">
        <v>1999</v>
      </c>
      <c r="E896" s="10" t="s">
        <v>2000</v>
      </c>
      <c r="F896" s="10">
        <v>36.508161000000001</v>
      </c>
      <c r="G896" s="10">
        <v>42.842039999999997</v>
      </c>
      <c r="H896" s="11">
        <v>87</v>
      </c>
      <c r="I896" s="11">
        <v>522</v>
      </c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>
        <v>87</v>
      </c>
      <c r="W896" s="11"/>
      <c r="X896" s="11"/>
      <c r="Y896" s="11"/>
      <c r="Z896" s="11"/>
      <c r="AA896" s="11"/>
      <c r="AB896" s="11"/>
      <c r="AC896" s="11">
        <v>87</v>
      </c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>
        <v>87</v>
      </c>
      <c r="AP896" s="11"/>
      <c r="AQ896" s="11"/>
      <c r="AR896" s="11"/>
      <c r="AS896" s="11"/>
      <c r="AT896" s="11"/>
      <c r="AU896" s="20" t="str">
        <f>HYPERLINK("http://www.openstreetmap.org/?mlat=36.5082&amp;mlon=42.842&amp;zoom=12#map=12/36.5082/42.842","Maplink1")</f>
        <v>Maplink1</v>
      </c>
      <c r="AV896" s="20" t="str">
        <f>HYPERLINK("https://www.google.iq/maps/search/+36.5082,42.842/@36.5082,42.842,14z?hl=en","Maplink2")</f>
        <v>Maplink2</v>
      </c>
      <c r="AW896" s="20" t="str">
        <f>HYPERLINK("http://www.bing.com/maps/?lvl=14&amp;sty=h&amp;cp=36.5082~42.842&amp;sp=point.36.5082_42.842","Maplink3")</f>
        <v>Maplink3</v>
      </c>
    </row>
    <row r="897" spans="1:49" s="19" customFormat="1" x14ac:dyDescent="0.25">
      <c r="A897" s="9">
        <v>33222</v>
      </c>
      <c r="B897" s="10" t="s">
        <v>20</v>
      </c>
      <c r="C897" s="10" t="s">
        <v>1344</v>
      </c>
      <c r="D897" s="10" t="s">
        <v>2001</v>
      </c>
      <c r="E897" s="10" t="s">
        <v>2002</v>
      </c>
      <c r="F897" s="10">
        <v>36.505302</v>
      </c>
      <c r="G897" s="10">
        <v>42.802909</v>
      </c>
      <c r="H897" s="11">
        <v>16</v>
      </c>
      <c r="I897" s="11">
        <v>96</v>
      </c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>
        <v>16</v>
      </c>
      <c r="W897" s="11"/>
      <c r="X897" s="11"/>
      <c r="Y897" s="11"/>
      <c r="Z897" s="11"/>
      <c r="AA897" s="11"/>
      <c r="AB897" s="11"/>
      <c r="AC897" s="11">
        <v>16</v>
      </c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>
        <v>16</v>
      </c>
      <c r="AP897" s="11"/>
      <c r="AQ897" s="11"/>
      <c r="AR897" s="11"/>
      <c r="AS897" s="11"/>
      <c r="AT897" s="11"/>
      <c r="AU897" s="20" t="str">
        <f>HYPERLINK("http://www.openstreetmap.org/?mlat=36.5053&amp;mlon=42.8029&amp;zoom=12#map=12/36.5053/42.8029","Maplink1")</f>
        <v>Maplink1</v>
      </c>
      <c r="AV897" s="20" t="str">
        <f>HYPERLINK("https://www.google.iq/maps/search/+36.5053,42.8029/@36.5053,42.8029,14z?hl=en","Maplink2")</f>
        <v>Maplink2</v>
      </c>
      <c r="AW897" s="20" t="str">
        <f>HYPERLINK("http://www.bing.com/maps/?lvl=14&amp;sty=h&amp;cp=36.5053~42.8029&amp;sp=point.36.5053_42.8029","Maplink3")</f>
        <v>Maplink3</v>
      </c>
    </row>
    <row r="898" spans="1:49" s="19" customFormat="1" x14ac:dyDescent="0.25">
      <c r="A898" s="9">
        <v>17566</v>
      </c>
      <c r="B898" s="10" t="s">
        <v>20</v>
      </c>
      <c r="C898" s="10" t="s">
        <v>1344</v>
      </c>
      <c r="D898" s="10" t="s">
        <v>2003</v>
      </c>
      <c r="E898" s="10" t="s">
        <v>2004</v>
      </c>
      <c r="F898" s="10">
        <v>36.546554</v>
      </c>
      <c r="G898" s="10">
        <v>42.883628999999999</v>
      </c>
      <c r="H898" s="11">
        <v>155</v>
      </c>
      <c r="I898" s="11">
        <v>930</v>
      </c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>
        <v>155</v>
      </c>
      <c r="W898" s="11"/>
      <c r="X898" s="11"/>
      <c r="Y898" s="11"/>
      <c r="Z898" s="11"/>
      <c r="AA898" s="11"/>
      <c r="AB898" s="11"/>
      <c r="AC898" s="11">
        <v>155</v>
      </c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>
        <v>155</v>
      </c>
      <c r="AP898" s="11"/>
      <c r="AQ898" s="11"/>
      <c r="AR898" s="11"/>
      <c r="AS898" s="11"/>
      <c r="AT898" s="11"/>
      <c r="AU898" s="20" t="str">
        <f>HYPERLINK("http://www.openstreetmap.org/?mlat=36.5466&amp;mlon=42.8836&amp;zoom=12#map=12/36.5466/42.8836","Maplink1")</f>
        <v>Maplink1</v>
      </c>
      <c r="AV898" s="20" t="str">
        <f>HYPERLINK("https://www.google.iq/maps/search/+36.5466,42.8836/@36.5466,42.8836,14z?hl=en","Maplink2")</f>
        <v>Maplink2</v>
      </c>
      <c r="AW898" s="20" t="str">
        <f>HYPERLINK("http://www.bing.com/maps/?lvl=14&amp;sty=h&amp;cp=36.5466~42.8836&amp;sp=point.36.5466_42.8836","Maplink3")</f>
        <v>Maplink3</v>
      </c>
    </row>
    <row r="899" spans="1:49" s="19" customFormat="1" x14ac:dyDescent="0.25">
      <c r="A899" s="9">
        <v>33217</v>
      </c>
      <c r="B899" s="10" t="s">
        <v>20</v>
      </c>
      <c r="C899" s="10" t="s">
        <v>1344</v>
      </c>
      <c r="D899" s="10" t="s">
        <v>2005</v>
      </c>
      <c r="E899" s="10" t="s">
        <v>2006</v>
      </c>
      <c r="F899" s="10">
        <v>36.578977000000002</v>
      </c>
      <c r="G899" s="10">
        <v>42.927636</v>
      </c>
      <c r="H899" s="11">
        <v>36</v>
      </c>
      <c r="I899" s="11">
        <v>216</v>
      </c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>
        <v>36</v>
      </c>
      <c r="W899" s="11"/>
      <c r="X899" s="11"/>
      <c r="Y899" s="11"/>
      <c r="Z899" s="11"/>
      <c r="AA899" s="11"/>
      <c r="AB899" s="11"/>
      <c r="AC899" s="11">
        <v>36</v>
      </c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>
        <v>36</v>
      </c>
      <c r="AP899" s="11"/>
      <c r="AQ899" s="11"/>
      <c r="AR899" s="11"/>
      <c r="AS899" s="11"/>
      <c r="AT899" s="11"/>
      <c r="AU899" s="20" t="str">
        <f>HYPERLINK("http://www.openstreetmap.org/?mlat=36.579&amp;mlon=42.9276&amp;zoom=12#map=12/36.579/42.9276","Maplink1")</f>
        <v>Maplink1</v>
      </c>
      <c r="AV899" s="20" t="str">
        <f>HYPERLINK("https://www.google.iq/maps/search/+36.579,42.9276/@36.579,42.9276,14z?hl=en","Maplink2")</f>
        <v>Maplink2</v>
      </c>
      <c r="AW899" s="20" t="str">
        <f>HYPERLINK("http://www.bing.com/maps/?lvl=14&amp;sty=h&amp;cp=36.579~42.9276&amp;sp=point.36.579_42.9276","Maplink3")</f>
        <v>Maplink3</v>
      </c>
    </row>
    <row r="900" spans="1:49" s="19" customFormat="1" x14ac:dyDescent="0.25">
      <c r="A900" s="9">
        <v>18046</v>
      </c>
      <c r="B900" s="10" t="s">
        <v>20</v>
      </c>
      <c r="C900" s="10" t="s">
        <v>1344</v>
      </c>
      <c r="D900" s="10" t="s">
        <v>1359</v>
      </c>
      <c r="E900" s="10" t="s">
        <v>1360</v>
      </c>
      <c r="F900" s="10">
        <v>36.615128550000001</v>
      </c>
      <c r="G900" s="10">
        <v>42.98922177</v>
      </c>
      <c r="H900" s="11">
        <v>300</v>
      </c>
      <c r="I900" s="11">
        <v>1800</v>
      </c>
      <c r="J900" s="11"/>
      <c r="K900" s="11"/>
      <c r="L900" s="11"/>
      <c r="M900" s="11"/>
      <c r="N900" s="11">
        <v>300</v>
      </c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>
        <v>300</v>
      </c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>
        <v>300</v>
      </c>
      <c r="AP900" s="11"/>
      <c r="AQ900" s="11"/>
      <c r="AR900" s="11"/>
      <c r="AS900" s="11"/>
      <c r="AT900" s="11"/>
      <c r="AU900" s="20" t="str">
        <f>HYPERLINK("http://www.openstreetmap.org/?mlat=36.6151&amp;mlon=42.9892&amp;zoom=12#map=12/36.6151/42.9892","Maplink1")</f>
        <v>Maplink1</v>
      </c>
      <c r="AV900" s="20" t="str">
        <f>HYPERLINK("https://www.google.iq/maps/search/+36.6151,42.9892/@36.6151,42.9892,14z?hl=en","Maplink2")</f>
        <v>Maplink2</v>
      </c>
      <c r="AW900" s="20" t="str">
        <f>HYPERLINK("http://www.bing.com/maps/?lvl=14&amp;sty=h&amp;cp=36.6151~42.9892&amp;sp=point.36.6151_42.9892","Maplink3")</f>
        <v>Maplink3</v>
      </c>
    </row>
    <row r="901" spans="1:49" s="19" customFormat="1" x14ac:dyDescent="0.25">
      <c r="A901" s="9">
        <v>33216</v>
      </c>
      <c r="B901" s="10" t="s">
        <v>20</v>
      </c>
      <c r="C901" s="10" t="s">
        <v>1344</v>
      </c>
      <c r="D901" s="10" t="s">
        <v>2007</v>
      </c>
      <c r="E901" s="10" t="s">
        <v>2008</v>
      </c>
      <c r="F901" s="10">
        <v>36.505344999999998</v>
      </c>
      <c r="G901" s="10">
        <v>42.853223</v>
      </c>
      <c r="H901" s="11">
        <v>100</v>
      </c>
      <c r="I901" s="11">
        <v>600</v>
      </c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>
        <v>100</v>
      </c>
      <c r="W901" s="11"/>
      <c r="X901" s="11"/>
      <c r="Y901" s="11"/>
      <c r="Z901" s="11"/>
      <c r="AA901" s="11"/>
      <c r="AB901" s="11"/>
      <c r="AC901" s="11">
        <v>100</v>
      </c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>
        <v>100</v>
      </c>
      <c r="AP901" s="11"/>
      <c r="AQ901" s="11"/>
      <c r="AR901" s="11"/>
      <c r="AS901" s="11"/>
      <c r="AT901" s="11"/>
      <c r="AU901" s="20" t="str">
        <f>HYPERLINK("http://www.openstreetmap.org/?mlat=36.5053&amp;mlon=42.8532&amp;zoom=12#map=12/36.5053/42.8532","Maplink1")</f>
        <v>Maplink1</v>
      </c>
      <c r="AV901" s="20" t="str">
        <f>HYPERLINK("https://www.google.iq/maps/search/+36.5053,42.8532/@36.5053,42.8532,14z?hl=en","Maplink2")</f>
        <v>Maplink2</v>
      </c>
      <c r="AW901" s="20" t="str">
        <f>HYPERLINK("http://www.bing.com/maps/?lvl=14&amp;sty=h&amp;cp=36.5053~42.8532&amp;sp=point.36.5053_42.8532","Maplink3")</f>
        <v>Maplink3</v>
      </c>
    </row>
    <row r="902" spans="1:49" s="19" customFormat="1" x14ac:dyDescent="0.25">
      <c r="A902" s="9">
        <v>27350</v>
      </c>
      <c r="B902" s="10" t="s">
        <v>20</v>
      </c>
      <c r="C902" s="10" t="s">
        <v>1344</v>
      </c>
      <c r="D902" s="10" t="s">
        <v>1361</v>
      </c>
      <c r="E902" s="10" t="s">
        <v>1362</v>
      </c>
      <c r="F902" s="10">
        <v>36.613679269999999</v>
      </c>
      <c r="G902" s="10">
        <v>42.837513090000002</v>
      </c>
      <c r="H902" s="11">
        <v>665</v>
      </c>
      <c r="I902" s="11">
        <v>3990</v>
      </c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>
        <v>665</v>
      </c>
      <c r="W902" s="11"/>
      <c r="X902" s="11"/>
      <c r="Y902" s="11"/>
      <c r="Z902" s="11"/>
      <c r="AA902" s="11"/>
      <c r="AB902" s="11"/>
      <c r="AC902" s="11">
        <v>665</v>
      </c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>
        <v>665</v>
      </c>
      <c r="AP902" s="11"/>
      <c r="AQ902" s="11"/>
      <c r="AR902" s="11"/>
      <c r="AS902" s="11"/>
      <c r="AT902" s="11"/>
      <c r="AU902" s="20" t="str">
        <f>HYPERLINK("http://www.openstreetmap.org/?mlat=36.6137&amp;mlon=42.8375&amp;zoom=12#map=12/36.6137/42.8375","Maplink1")</f>
        <v>Maplink1</v>
      </c>
      <c r="AV902" s="20" t="str">
        <f>HYPERLINK("https://www.google.iq/maps/search/+36.6137,42.8375/@36.6137,42.8375,14z?hl=en","Maplink2")</f>
        <v>Maplink2</v>
      </c>
      <c r="AW902" s="20" t="str">
        <f>HYPERLINK("http://www.bing.com/maps/?lvl=14&amp;sty=h&amp;cp=36.6137~42.8375&amp;sp=point.36.6137_42.8375","Maplink3")</f>
        <v>Maplink3</v>
      </c>
    </row>
    <row r="903" spans="1:49" s="19" customFormat="1" x14ac:dyDescent="0.25">
      <c r="A903" s="9">
        <v>17585</v>
      </c>
      <c r="B903" s="10" t="s">
        <v>20</v>
      </c>
      <c r="C903" s="10" t="s">
        <v>1344</v>
      </c>
      <c r="D903" s="10" t="s">
        <v>2009</v>
      </c>
      <c r="E903" s="10" t="s">
        <v>2010</v>
      </c>
      <c r="F903" s="10">
        <v>36.395966999999999</v>
      </c>
      <c r="G903" s="10">
        <v>43.281357999999997</v>
      </c>
      <c r="H903" s="11">
        <v>10</v>
      </c>
      <c r="I903" s="11">
        <v>60</v>
      </c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>
        <v>10</v>
      </c>
      <c r="W903" s="11"/>
      <c r="X903" s="11"/>
      <c r="Y903" s="11"/>
      <c r="Z903" s="11"/>
      <c r="AA903" s="11"/>
      <c r="AB903" s="11"/>
      <c r="AC903" s="11">
        <v>10</v>
      </c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>
        <v>10</v>
      </c>
      <c r="AP903" s="11"/>
      <c r="AQ903" s="11"/>
      <c r="AR903" s="11"/>
      <c r="AS903" s="11"/>
      <c r="AT903" s="11"/>
      <c r="AU903" s="20" t="str">
        <f>HYPERLINK("http://www.openstreetmap.org/?mlat=36.396&amp;mlon=43.2814&amp;zoom=12#map=12/36.396/43.2814","Maplink1")</f>
        <v>Maplink1</v>
      </c>
      <c r="AV903" s="20" t="str">
        <f>HYPERLINK("https://www.google.iq/maps/search/+36.396,43.2814/@36.396,43.2814,14z?hl=en","Maplink2")</f>
        <v>Maplink2</v>
      </c>
      <c r="AW903" s="20" t="str">
        <f>HYPERLINK("http://www.bing.com/maps/?lvl=14&amp;sty=h&amp;cp=36.396~43.2814&amp;sp=point.36.396_43.2814","Maplink3")</f>
        <v>Maplink3</v>
      </c>
    </row>
    <row r="904" spans="1:49" s="19" customFormat="1" x14ac:dyDescent="0.25">
      <c r="A904" s="9">
        <v>21601</v>
      </c>
      <c r="B904" s="10" t="s">
        <v>20</v>
      </c>
      <c r="C904" s="10" t="s">
        <v>1344</v>
      </c>
      <c r="D904" s="10" t="s">
        <v>1363</v>
      </c>
      <c r="E904" s="10" t="s">
        <v>1364</v>
      </c>
      <c r="F904" s="10">
        <v>36.42145</v>
      </c>
      <c r="G904" s="10">
        <v>43.160580000000003</v>
      </c>
      <c r="H904" s="11">
        <v>1000</v>
      </c>
      <c r="I904" s="11">
        <v>6000</v>
      </c>
      <c r="J904" s="11">
        <v>30</v>
      </c>
      <c r="K904" s="11">
        <v>110</v>
      </c>
      <c r="L904" s="11">
        <v>15</v>
      </c>
      <c r="M904" s="11">
        <v>40</v>
      </c>
      <c r="N904" s="11">
        <v>30</v>
      </c>
      <c r="O904" s="11"/>
      <c r="P904" s="11">
        <v>25</v>
      </c>
      <c r="Q904" s="11">
        <v>217</v>
      </c>
      <c r="R904" s="11"/>
      <c r="S904" s="11"/>
      <c r="T904" s="11"/>
      <c r="U904" s="11">
        <v>273</v>
      </c>
      <c r="V904" s="11">
        <v>260</v>
      </c>
      <c r="W904" s="11"/>
      <c r="X904" s="11"/>
      <c r="Y904" s="11"/>
      <c r="Z904" s="11"/>
      <c r="AA904" s="11"/>
      <c r="AB904" s="11"/>
      <c r="AC904" s="11">
        <v>1000</v>
      </c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>
        <v>1000</v>
      </c>
      <c r="AP904" s="11"/>
      <c r="AQ904" s="11"/>
      <c r="AR904" s="11"/>
      <c r="AS904" s="11"/>
      <c r="AT904" s="11"/>
      <c r="AU904" s="20" t="str">
        <f>HYPERLINK("http://www.openstreetmap.org/?mlat=36.4215&amp;mlon=43.1606&amp;zoom=12#map=12/36.4215/43.1606","Maplink1")</f>
        <v>Maplink1</v>
      </c>
      <c r="AV904" s="20" t="str">
        <f>HYPERLINK("https://www.google.iq/maps/search/+36.4215,43.1606/@36.4215,43.1606,14z?hl=en","Maplink2")</f>
        <v>Maplink2</v>
      </c>
      <c r="AW904" s="20" t="str">
        <f>HYPERLINK("http://www.bing.com/maps/?lvl=14&amp;sty=h&amp;cp=36.4215~43.1606&amp;sp=point.36.4215_43.1606","Maplink3")</f>
        <v>Maplink3</v>
      </c>
    </row>
    <row r="905" spans="1:49" s="19" customFormat="1" x14ac:dyDescent="0.25">
      <c r="A905" s="9">
        <v>31770</v>
      </c>
      <c r="B905" s="10" t="s">
        <v>20</v>
      </c>
      <c r="C905" s="10" t="s">
        <v>1344</v>
      </c>
      <c r="D905" s="10" t="s">
        <v>1365</v>
      </c>
      <c r="E905" s="10" t="s">
        <v>1366</v>
      </c>
      <c r="F905" s="10">
        <v>36.576070000000001</v>
      </c>
      <c r="G905" s="10">
        <v>43.184890000000003</v>
      </c>
      <c r="H905" s="11">
        <v>70</v>
      </c>
      <c r="I905" s="11">
        <v>420</v>
      </c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>
        <v>70</v>
      </c>
      <c r="W905" s="11"/>
      <c r="X905" s="11"/>
      <c r="Y905" s="11"/>
      <c r="Z905" s="11"/>
      <c r="AA905" s="11"/>
      <c r="AB905" s="11"/>
      <c r="AC905" s="11">
        <v>70</v>
      </c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>
        <v>70</v>
      </c>
      <c r="AP905" s="11"/>
      <c r="AQ905" s="11"/>
      <c r="AR905" s="11"/>
      <c r="AS905" s="11"/>
      <c r="AT905" s="11"/>
      <c r="AU905" s="20" t="str">
        <f>HYPERLINK("http://www.openstreetmap.org/?mlat=36.5761&amp;mlon=43.1849&amp;zoom=12#map=12/36.5761/43.1849","Maplink1")</f>
        <v>Maplink1</v>
      </c>
      <c r="AV905" s="20" t="str">
        <f>HYPERLINK("https://www.google.iq/maps/search/+36.5761,43.1849/@36.5761,43.1849,14z?hl=en","Maplink2")</f>
        <v>Maplink2</v>
      </c>
      <c r="AW905" s="20" t="str">
        <f>HYPERLINK("http://www.bing.com/maps/?lvl=14&amp;sty=h&amp;cp=36.5761~43.1849&amp;sp=point.36.5761_43.1849","Maplink3")</f>
        <v>Maplink3</v>
      </c>
    </row>
    <row r="906" spans="1:49" s="19" customFormat="1" x14ac:dyDescent="0.25">
      <c r="A906" s="9">
        <v>17931</v>
      </c>
      <c r="B906" s="10" t="s">
        <v>20</v>
      </c>
      <c r="C906" s="10" t="s">
        <v>1344</v>
      </c>
      <c r="D906" s="10" t="s">
        <v>1367</v>
      </c>
      <c r="E906" s="10" t="s">
        <v>1368</v>
      </c>
      <c r="F906" s="10">
        <v>36.61065095</v>
      </c>
      <c r="G906" s="10">
        <v>42.983273070000003</v>
      </c>
      <c r="H906" s="11">
        <v>383</v>
      </c>
      <c r="I906" s="11">
        <v>2298</v>
      </c>
      <c r="J906" s="11"/>
      <c r="K906" s="11"/>
      <c r="L906" s="11"/>
      <c r="M906" s="11"/>
      <c r="N906" s="11">
        <v>287</v>
      </c>
      <c r="O906" s="11"/>
      <c r="P906" s="11"/>
      <c r="Q906" s="11"/>
      <c r="R906" s="11"/>
      <c r="S906" s="11"/>
      <c r="T906" s="11"/>
      <c r="U906" s="11"/>
      <c r="V906" s="11">
        <v>96</v>
      </c>
      <c r="W906" s="11"/>
      <c r="X906" s="11"/>
      <c r="Y906" s="11"/>
      <c r="Z906" s="11"/>
      <c r="AA906" s="11"/>
      <c r="AB906" s="11"/>
      <c r="AC906" s="11">
        <v>383</v>
      </c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>
        <v>383</v>
      </c>
      <c r="AP906" s="11"/>
      <c r="AQ906" s="11"/>
      <c r="AR906" s="11"/>
      <c r="AS906" s="11"/>
      <c r="AT906" s="11"/>
      <c r="AU906" s="20" t="str">
        <f>HYPERLINK("http://www.openstreetmap.org/?mlat=36.6107&amp;mlon=42.9833&amp;zoom=12#map=12/36.6107/42.9833","Maplink1")</f>
        <v>Maplink1</v>
      </c>
      <c r="AV906" s="20" t="str">
        <f>HYPERLINK("https://www.google.iq/maps/search/+36.6107,42.9833/@36.6107,42.9833,14z?hl=en","Maplink2")</f>
        <v>Maplink2</v>
      </c>
      <c r="AW906" s="20" t="str">
        <f>HYPERLINK("http://www.bing.com/maps/?lvl=14&amp;sty=h&amp;cp=36.6107~42.9833&amp;sp=point.36.6107_42.9833","Maplink3")</f>
        <v>Maplink3</v>
      </c>
    </row>
    <row r="907" spans="1:49" s="19" customFormat="1" x14ac:dyDescent="0.25">
      <c r="A907" s="9">
        <v>24634</v>
      </c>
      <c r="B907" s="10" t="s">
        <v>20</v>
      </c>
      <c r="C907" s="10" t="s">
        <v>1344</v>
      </c>
      <c r="D907" s="10" t="s">
        <v>2011</v>
      </c>
      <c r="E907" s="10" t="s">
        <v>2012</v>
      </c>
      <c r="F907" s="10">
        <v>36.512565000000002</v>
      </c>
      <c r="G907" s="10">
        <v>42.827224000000001</v>
      </c>
      <c r="H907" s="11">
        <v>22</v>
      </c>
      <c r="I907" s="11">
        <v>132</v>
      </c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>
        <v>22</v>
      </c>
      <c r="W907" s="11"/>
      <c r="X907" s="11"/>
      <c r="Y907" s="11"/>
      <c r="Z907" s="11"/>
      <c r="AA907" s="11"/>
      <c r="AB907" s="11"/>
      <c r="AC907" s="11">
        <v>22</v>
      </c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>
        <v>22</v>
      </c>
      <c r="AP907" s="11"/>
      <c r="AQ907" s="11"/>
      <c r="AR907" s="11"/>
      <c r="AS907" s="11"/>
      <c r="AT907" s="11"/>
      <c r="AU907" s="20" t="str">
        <f>HYPERLINK("http://www.openstreetmap.org/?mlat=36.5126&amp;mlon=42.8272&amp;zoom=12#map=12/36.5126/42.8272","Maplink1")</f>
        <v>Maplink1</v>
      </c>
      <c r="AV907" s="20" t="str">
        <f>HYPERLINK("https://www.google.iq/maps/search/+36.5126,42.8272/@36.5126,42.8272,14z?hl=en","Maplink2")</f>
        <v>Maplink2</v>
      </c>
      <c r="AW907" s="20" t="str">
        <f>HYPERLINK("http://www.bing.com/maps/?lvl=14&amp;sty=h&amp;cp=36.5126~42.8272&amp;sp=point.36.5126_42.8272","Maplink3")</f>
        <v>Maplink3</v>
      </c>
    </row>
    <row r="908" spans="1:49" s="19" customFormat="1" x14ac:dyDescent="0.25">
      <c r="A908" s="9">
        <v>17959</v>
      </c>
      <c r="B908" s="10" t="s">
        <v>20</v>
      </c>
      <c r="C908" s="10" t="s">
        <v>1344</v>
      </c>
      <c r="D908" s="10" t="s">
        <v>1369</v>
      </c>
      <c r="E908" s="10" t="s">
        <v>1370</v>
      </c>
      <c r="F908" s="10">
        <v>36.599922999999997</v>
      </c>
      <c r="G908" s="10">
        <v>43.106865999999997</v>
      </c>
      <c r="H908" s="11">
        <v>590</v>
      </c>
      <c r="I908" s="11">
        <v>3540</v>
      </c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>
        <v>590</v>
      </c>
      <c r="W908" s="11"/>
      <c r="X908" s="11"/>
      <c r="Y908" s="11"/>
      <c r="Z908" s="11"/>
      <c r="AA908" s="11"/>
      <c r="AB908" s="11"/>
      <c r="AC908" s="11">
        <v>590</v>
      </c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>
        <v>590</v>
      </c>
      <c r="AP908" s="11"/>
      <c r="AQ908" s="11"/>
      <c r="AR908" s="11"/>
      <c r="AS908" s="11"/>
      <c r="AT908" s="11"/>
      <c r="AU908" s="20" t="str">
        <f>HYPERLINK("http://www.openstreetmap.org/?mlat=36.5999&amp;mlon=43.1069&amp;zoom=12#map=12/36.5999/43.1069","Maplink1")</f>
        <v>Maplink1</v>
      </c>
      <c r="AV908" s="20" t="str">
        <f>HYPERLINK("https://www.google.iq/maps/search/+36.5999,43.1069/@36.5999,43.1069,14z?hl=en","Maplink2")</f>
        <v>Maplink2</v>
      </c>
      <c r="AW908" s="20" t="str">
        <f>HYPERLINK("http://www.bing.com/maps/?lvl=14&amp;sty=h&amp;cp=36.5999~43.1069&amp;sp=point.36.5999_43.1069","Maplink3")</f>
        <v>Maplink3</v>
      </c>
    </row>
    <row r="909" spans="1:49" s="19" customFormat="1" x14ac:dyDescent="0.25">
      <c r="A909" s="9">
        <v>17940</v>
      </c>
      <c r="B909" s="10" t="s">
        <v>20</v>
      </c>
      <c r="C909" s="10" t="s">
        <v>1344</v>
      </c>
      <c r="D909" s="10" t="s">
        <v>2013</v>
      </c>
      <c r="E909" s="10" t="s">
        <v>2014</v>
      </c>
      <c r="F909" s="10">
        <v>36.574294000000002</v>
      </c>
      <c r="G909" s="10">
        <v>42.798195</v>
      </c>
      <c r="H909" s="11">
        <v>24</v>
      </c>
      <c r="I909" s="11">
        <v>144</v>
      </c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>
        <v>24</v>
      </c>
      <c r="W909" s="11"/>
      <c r="X909" s="11"/>
      <c r="Y909" s="11"/>
      <c r="Z909" s="11"/>
      <c r="AA909" s="11"/>
      <c r="AB909" s="11"/>
      <c r="AC909" s="11">
        <v>24</v>
      </c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>
        <v>24</v>
      </c>
      <c r="AP909" s="11"/>
      <c r="AQ909" s="11"/>
      <c r="AR909" s="11"/>
      <c r="AS909" s="11"/>
      <c r="AT909" s="11"/>
      <c r="AU909" s="20" t="str">
        <f>HYPERLINK("http://www.openstreetmap.org/?mlat=36.5743&amp;mlon=42.7982&amp;zoom=12#map=12/36.5743/42.7982","Maplink1")</f>
        <v>Maplink1</v>
      </c>
      <c r="AV909" s="20" t="str">
        <f>HYPERLINK("https://www.google.iq/maps/search/+36.5743,42.7982/@36.5743,42.7982,14z?hl=en","Maplink2")</f>
        <v>Maplink2</v>
      </c>
      <c r="AW909" s="20" t="str">
        <f>HYPERLINK("http://www.bing.com/maps/?lvl=14&amp;sty=h&amp;cp=36.5743~42.7982&amp;sp=point.36.5743_42.7982","Maplink3")</f>
        <v>Maplink3</v>
      </c>
    </row>
    <row r="910" spans="1:49" s="19" customFormat="1" x14ac:dyDescent="0.25">
      <c r="A910" s="9">
        <v>17941</v>
      </c>
      <c r="B910" s="10" t="s">
        <v>20</v>
      </c>
      <c r="C910" s="10" t="s">
        <v>1344</v>
      </c>
      <c r="D910" s="10" t="s">
        <v>1371</v>
      </c>
      <c r="E910" s="10" t="s">
        <v>1372</v>
      </c>
      <c r="F910" s="10">
        <v>36.489660000000001</v>
      </c>
      <c r="G910" s="10">
        <v>43.119173000000004</v>
      </c>
      <c r="H910" s="11">
        <v>344</v>
      </c>
      <c r="I910" s="11">
        <v>2064</v>
      </c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>
        <v>344</v>
      </c>
      <c r="W910" s="11"/>
      <c r="X910" s="11"/>
      <c r="Y910" s="11"/>
      <c r="Z910" s="11"/>
      <c r="AA910" s="11"/>
      <c r="AB910" s="11"/>
      <c r="AC910" s="11">
        <v>344</v>
      </c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>
        <v>344</v>
      </c>
      <c r="AP910" s="11"/>
      <c r="AQ910" s="11"/>
      <c r="AR910" s="11"/>
      <c r="AS910" s="11"/>
      <c r="AT910" s="11"/>
      <c r="AU910" s="20" t="str">
        <f>HYPERLINK("http://www.openstreetmap.org/?mlat=36.4897&amp;mlon=43.1192&amp;zoom=12#map=12/36.4897/43.1192","Maplink1")</f>
        <v>Maplink1</v>
      </c>
      <c r="AV910" s="20" t="str">
        <f>HYPERLINK("https://www.google.iq/maps/search/+36.4897,43.1192/@36.4897,43.1192,14z?hl=en","Maplink2")</f>
        <v>Maplink2</v>
      </c>
      <c r="AW910" s="20" t="str">
        <f>HYPERLINK("http://www.bing.com/maps/?lvl=14&amp;sty=h&amp;cp=36.4897~43.1192&amp;sp=point.36.4897_43.1192","Maplink3")</f>
        <v>Maplink3</v>
      </c>
    </row>
    <row r="911" spans="1:49" s="19" customFormat="1" x14ac:dyDescent="0.25">
      <c r="A911" s="9">
        <v>17597</v>
      </c>
      <c r="B911" s="10" t="s">
        <v>20</v>
      </c>
      <c r="C911" s="10" t="s">
        <v>1344</v>
      </c>
      <c r="D911" s="10" t="s">
        <v>2015</v>
      </c>
      <c r="E911" s="10" t="s">
        <v>2016</v>
      </c>
      <c r="F911" s="10">
        <v>36.588022000000002</v>
      </c>
      <c r="G911" s="10">
        <v>42.877034000000002</v>
      </c>
      <c r="H911" s="11">
        <v>11</v>
      </c>
      <c r="I911" s="11">
        <v>66</v>
      </c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>
        <v>11</v>
      </c>
      <c r="W911" s="11"/>
      <c r="X911" s="11"/>
      <c r="Y911" s="11"/>
      <c r="Z911" s="11"/>
      <c r="AA911" s="11"/>
      <c r="AB911" s="11"/>
      <c r="AC911" s="11">
        <v>11</v>
      </c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>
        <v>11</v>
      </c>
      <c r="AP911" s="11"/>
      <c r="AQ911" s="11"/>
      <c r="AR911" s="11"/>
      <c r="AS911" s="11"/>
      <c r="AT911" s="11"/>
      <c r="AU911" s="20" t="str">
        <f>HYPERLINK("http://www.openstreetmap.org/?mlat=36.588&amp;mlon=42.877&amp;zoom=12#map=12/36.588/42.877","Maplink1")</f>
        <v>Maplink1</v>
      </c>
      <c r="AV911" s="20" t="str">
        <f>HYPERLINK("https://www.google.iq/maps/search/+36.588,42.877/@36.588,42.877,14z?hl=en","Maplink2")</f>
        <v>Maplink2</v>
      </c>
      <c r="AW911" s="20" t="str">
        <f>HYPERLINK("http://www.bing.com/maps/?lvl=14&amp;sty=h&amp;cp=36.588~42.877&amp;sp=point.36.588_42.877","Maplink3")</f>
        <v>Maplink3</v>
      </c>
    </row>
    <row r="912" spans="1:49" s="19" customFormat="1" x14ac:dyDescent="0.25">
      <c r="A912" s="9">
        <v>17133</v>
      </c>
      <c r="B912" s="10" t="s">
        <v>20</v>
      </c>
      <c r="C912" s="10" t="s">
        <v>1344</v>
      </c>
      <c r="D912" s="10" t="s">
        <v>1373</v>
      </c>
      <c r="E912" s="10" t="s">
        <v>1374</v>
      </c>
      <c r="F912" s="10">
        <v>36.532456740000001</v>
      </c>
      <c r="G912" s="10">
        <v>42.7592298</v>
      </c>
      <c r="H912" s="11">
        <v>1745</v>
      </c>
      <c r="I912" s="11">
        <v>10470</v>
      </c>
      <c r="J912" s="11"/>
      <c r="K912" s="11"/>
      <c r="L912" s="11"/>
      <c r="M912" s="11"/>
      <c r="N912" s="11">
        <v>1745</v>
      </c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>
        <v>1745</v>
      </c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>
        <v>1745</v>
      </c>
      <c r="AP912" s="11"/>
      <c r="AQ912" s="11"/>
      <c r="AR912" s="11"/>
      <c r="AS912" s="11"/>
      <c r="AT912" s="11"/>
      <c r="AU912" s="20" t="str">
        <f>HYPERLINK("http://www.openstreetmap.org/?mlat=36.5325&amp;mlon=42.7592&amp;zoom=12#map=12/36.5325/42.7592","Maplink1")</f>
        <v>Maplink1</v>
      </c>
      <c r="AV912" s="20" t="str">
        <f>HYPERLINK("https://www.google.iq/maps/search/+36.5325,42.7592/@36.5325,42.7592,14z?hl=en","Maplink2")</f>
        <v>Maplink2</v>
      </c>
      <c r="AW912" s="20" t="str">
        <f>HYPERLINK("http://www.bing.com/maps/?lvl=14&amp;sty=h&amp;cp=36.5325~42.7592&amp;sp=point.36.5325_42.7592","Maplink3")</f>
        <v>Maplink3</v>
      </c>
    </row>
    <row r="913" spans="1:49" s="19" customFormat="1" x14ac:dyDescent="0.25">
      <c r="A913" s="9">
        <v>26081</v>
      </c>
      <c r="B913" s="10" t="s">
        <v>22</v>
      </c>
      <c r="C913" s="10" t="s">
        <v>1375</v>
      </c>
      <c r="D913" s="10" t="s">
        <v>1376</v>
      </c>
      <c r="E913" s="10" t="s">
        <v>351</v>
      </c>
      <c r="F913" s="10">
        <v>34.460893390000003</v>
      </c>
      <c r="G913" s="10">
        <v>43.84258054</v>
      </c>
      <c r="H913" s="11">
        <v>253</v>
      </c>
      <c r="I913" s="11">
        <v>1518</v>
      </c>
      <c r="J913" s="11"/>
      <c r="K913" s="11"/>
      <c r="L913" s="11"/>
      <c r="M913" s="11"/>
      <c r="N913" s="11"/>
      <c r="O913" s="11"/>
      <c r="P913" s="11">
        <v>67</v>
      </c>
      <c r="Q913" s="11"/>
      <c r="R913" s="11">
        <v>93</v>
      </c>
      <c r="S913" s="11"/>
      <c r="T913" s="11"/>
      <c r="U913" s="11"/>
      <c r="V913" s="11"/>
      <c r="W913" s="11"/>
      <c r="X913" s="11">
        <v>66</v>
      </c>
      <c r="Y913" s="11">
        <v>27</v>
      </c>
      <c r="Z913" s="11"/>
      <c r="AA913" s="11"/>
      <c r="AB913" s="11"/>
      <c r="AC913" s="11">
        <v>229</v>
      </c>
      <c r="AD913" s="11"/>
      <c r="AE913" s="11"/>
      <c r="AF913" s="11"/>
      <c r="AG913" s="11"/>
      <c r="AH913" s="11">
        <v>7</v>
      </c>
      <c r="AI913" s="11">
        <v>17</v>
      </c>
      <c r="AJ913" s="11"/>
      <c r="AK913" s="11"/>
      <c r="AL913" s="11"/>
      <c r="AM913" s="11">
        <v>39</v>
      </c>
      <c r="AN913" s="11">
        <v>98</v>
      </c>
      <c r="AO913" s="11">
        <v>62</v>
      </c>
      <c r="AP913" s="11">
        <v>47</v>
      </c>
      <c r="AQ913" s="11"/>
      <c r="AR913" s="11"/>
      <c r="AS913" s="11">
        <v>7</v>
      </c>
      <c r="AT913" s="11"/>
      <c r="AU913" s="20" t="str">
        <f>HYPERLINK("http://www.openstreetmap.org/?mlat=34.4609&amp;mlon=43.8426&amp;zoom=12#map=12/34.4609/43.8426","Maplink1")</f>
        <v>Maplink1</v>
      </c>
      <c r="AV913" s="20" t="str">
        <f>HYPERLINK("https://www.google.iq/maps/search/+34.4609,43.8426/@34.4609,43.8426,14z?hl=en","Maplink2")</f>
        <v>Maplink2</v>
      </c>
      <c r="AW913" s="20" t="str">
        <f>HYPERLINK("http://www.bing.com/maps/?lvl=14&amp;sty=h&amp;cp=34.4609~43.8426&amp;sp=point.34.4609_43.8426","Maplink3")</f>
        <v>Maplink3</v>
      </c>
    </row>
    <row r="914" spans="1:49" s="19" customFormat="1" x14ac:dyDescent="0.25">
      <c r="A914" s="9">
        <v>26116</v>
      </c>
      <c r="B914" s="10" t="s">
        <v>22</v>
      </c>
      <c r="C914" s="10" t="s">
        <v>1375</v>
      </c>
      <c r="D914" s="10" t="s">
        <v>1377</v>
      </c>
      <c r="E914" s="10" t="s">
        <v>1378</v>
      </c>
      <c r="F914" s="10">
        <v>34.407308469999997</v>
      </c>
      <c r="G914" s="10">
        <v>43.79371673</v>
      </c>
      <c r="H914" s="11">
        <v>2485</v>
      </c>
      <c r="I914" s="11">
        <v>14910</v>
      </c>
      <c r="J914" s="11"/>
      <c r="K914" s="11"/>
      <c r="L914" s="11">
        <v>8</v>
      </c>
      <c r="M914" s="11"/>
      <c r="N914" s="11"/>
      <c r="O914" s="11"/>
      <c r="P914" s="11">
        <v>370</v>
      </c>
      <c r="Q914" s="11"/>
      <c r="R914" s="11">
        <v>837</v>
      </c>
      <c r="S914" s="11"/>
      <c r="T914" s="11"/>
      <c r="U914" s="11"/>
      <c r="V914" s="11"/>
      <c r="W914" s="11"/>
      <c r="X914" s="11">
        <v>822</v>
      </c>
      <c r="Y914" s="11">
        <v>448</v>
      </c>
      <c r="Z914" s="11"/>
      <c r="AA914" s="11"/>
      <c r="AB914" s="11"/>
      <c r="AC914" s="11">
        <v>2485</v>
      </c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>
        <v>1825</v>
      </c>
      <c r="AO914" s="11">
        <v>655</v>
      </c>
      <c r="AP914" s="11"/>
      <c r="AQ914" s="11"/>
      <c r="AR914" s="11"/>
      <c r="AS914" s="11">
        <v>5</v>
      </c>
      <c r="AT914" s="11"/>
      <c r="AU914" s="20" t="str">
        <f>HYPERLINK("http://www.openstreetmap.org/?mlat=34.4073&amp;mlon=43.7937&amp;zoom=12#map=12/34.4073/43.7937","Maplink1")</f>
        <v>Maplink1</v>
      </c>
      <c r="AV914" s="20" t="str">
        <f>HYPERLINK("https://www.google.iq/maps/search/+34.4073,43.7937/@34.4073,43.7937,14z?hl=en","Maplink2")</f>
        <v>Maplink2</v>
      </c>
      <c r="AW914" s="20" t="str">
        <f>HYPERLINK("http://www.bing.com/maps/?lvl=14&amp;sty=h&amp;cp=34.4073~43.7937&amp;sp=point.34.4073_43.7937","Maplink3")</f>
        <v>Maplink3</v>
      </c>
    </row>
    <row r="915" spans="1:49" s="19" customFormat="1" x14ac:dyDescent="0.25">
      <c r="A915" s="9">
        <v>20746</v>
      </c>
      <c r="B915" s="10" t="s">
        <v>22</v>
      </c>
      <c r="C915" s="10" t="s">
        <v>1375</v>
      </c>
      <c r="D915" s="10" t="s">
        <v>1379</v>
      </c>
      <c r="E915" s="10" t="s">
        <v>820</v>
      </c>
      <c r="F915" s="10">
        <v>34.476997580000003</v>
      </c>
      <c r="G915" s="10">
        <v>43.790740649999996</v>
      </c>
      <c r="H915" s="11">
        <v>637</v>
      </c>
      <c r="I915" s="11">
        <v>3822</v>
      </c>
      <c r="J915" s="11"/>
      <c r="K915" s="11"/>
      <c r="L915" s="11"/>
      <c r="M915" s="11"/>
      <c r="N915" s="11"/>
      <c r="O915" s="11"/>
      <c r="P915" s="11">
        <v>95</v>
      </c>
      <c r="Q915" s="11"/>
      <c r="R915" s="11">
        <v>205</v>
      </c>
      <c r="S915" s="11"/>
      <c r="T915" s="11"/>
      <c r="U915" s="11"/>
      <c r="V915" s="11"/>
      <c r="W915" s="11"/>
      <c r="X915" s="11">
        <v>153</v>
      </c>
      <c r="Y915" s="11">
        <v>184</v>
      </c>
      <c r="Z915" s="11"/>
      <c r="AA915" s="11"/>
      <c r="AB915" s="11"/>
      <c r="AC915" s="11">
        <v>634</v>
      </c>
      <c r="AD915" s="11"/>
      <c r="AE915" s="11"/>
      <c r="AF915" s="11"/>
      <c r="AG915" s="11"/>
      <c r="AH915" s="11"/>
      <c r="AI915" s="11">
        <v>3</v>
      </c>
      <c r="AJ915" s="11"/>
      <c r="AK915" s="11"/>
      <c r="AL915" s="11"/>
      <c r="AM915" s="11"/>
      <c r="AN915" s="11">
        <v>596</v>
      </c>
      <c r="AO915" s="11">
        <v>32</v>
      </c>
      <c r="AP915" s="11">
        <v>9</v>
      </c>
      <c r="AQ915" s="11"/>
      <c r="AR915" s="11"/>
      <c r="AS915" s="11"/>
      <c r="AT915" s="11"/>
      <c r="AU915" s="20" t="str">
        <f>HYPERLINK("http://www.openstreetmap.org/?mlat=34.477&amp;mlon=43.7907&amp;zoom=12#map=12/34.477/43.7907","Maplink1")</f>
        <v>Maplink1</v>
      </c>
      <c r="AV915" s="20" t="str">
        <f>HYPERLINK("https://www.google.iq/maps/search/+34.477,43.7907/@34.477,43.7907,14z?hl=en","Maplink2")</f>
        <v>Maplink2</v>
      </c>
      <c r="AW915" s="20" t="str">
        <f>HYPERLINK("http://www.bing.com/maps/?lvl=14&amp;sty=h&amp;cp=34.477~43.7907&amp;sp=point.34.477_43.7907","Maplink3")</f>
        <v>Maplink3</v>
      </c>
    </row>
    <row r="916" spans="1:49" s="19" customFormat="1" x14ac:dyDescent="0.25">
      <c r="A916" s="9">
        <v>20587</v>
      </c>
      <c r="B916" s="10" t="s">
        <v>22</v>
      </c>
      <c r="C916" s="10" t="s">
        <v>1375</v>
      </c>
      <c r="D916" s="10" t="s">
        <v>1380</v>
      </c>
      <c r="E916" s="10" t="s">
        <v>1381</v>
      </c>
      <c r="F916" s="10">
        <v>34.455692169999999</v>
      </c>
      <c r="G916" s="10">
        <v>43.797937859999998</v>
      </c>
      <c r="H916" s="11">
        <v>1409</v>
      </c>
      <c r="I916" s="11">
        <v>8454</v>
      </c>
      <c r="J916" s="11"/>
      <c r="K916" s="11"/>
      <c r="L916" s="11">
        <v>3</v>
      </c>
      <c r="M916" s="11"/>
      <c r="N916" s="11"/>
      <c r="O916" s="11"/>
      <c r="P916" s="11">
        <v>82</v>
      </c>
      <c r="Q916" s="11"/>
      <c r="R916" s="11">
        <v>756</v>
      </c>
      <c r="S916" s="11"/>
      <c r="T916" s="11"/>
      <c r="U916" s="11"/>
      <c r="V916" s="11"/>
      <c r="W916" s="11"/>
      <c r="X916" s="11">
        <v>531</v>
      </c>
      <c r="Y916" s="11">
        <v>37</v>
      </c>
      <c r="Z916" s="11"/>
      <c r="AA916" s="11"/>
      <c r="AB916" s="11"/>
      <c r="AC916" s="11">
        <v>1384</v>
      </c>
      <c r="AD916" s="11"/>
      <c r="AE916" s="11"/>
      <c r="AF916" s="11"/>
      <c r="AG916" s="11"/>
      <c r="AH916" s="11"/>
      <c r="AI916" s="11">
        <v>25</v>
      </c>
      <c r="AJ916" s="11"/>
      <c r="AK916" s="11"/>
      <c r="AL916" s="11"/>
      <c r="AM916" s="11">
        <v>990</v>
      </c>
      <c r="AN916" s="11">
        <v>396</v>
      </c>
      <c r="AO916" s="11"/>
      <c r="AP916" s="11"/>
      <c r="AQ916" s="11">
        <v>15</v>
      </c>
      <c r="AR916" s="11"/>
      <c r="AS916" s="11">
        <v>8</v>
      </c>
      <c r="AT916" s="11"/>
      <c r="AU916" s="20" t="str">
        <f>HYPERLINK("http://www.openstreetmap.org/?mlat=34.4557&amp;mlon=43.7979&amp;zoom=12#map=12/34.4557/43.7979","Maplink1")</f>
        <v>Maplink1</v>
      </c>
      <c r="AV916" s="20" t="str">
        <f>HYPERLINK("https://www.google.iq/maps/search/+34.4557,43.7979/@34.4557,43.7979,14z?hl=en","Maplink2")</f>
        <v>Maplink2</v>
      </c>
      <c r="AW916" s="20" t="str">
        <f>HYPERLINK("http://www.bing.com/maps/?lvl=14&amp;sty=h&amp;cp=34.4557~43.7979&amp;sp=point.34.4557_43.7979","Maplink3")</f>
        <v>Maplink3</v>
      </c>
    </row>
    <row r="917" spans="1:49" s="19" customFormat="1" x14ac:dyDescent="0.25">
      <c r="A917" s="9">
        <v>26079</v>
      </c>
      <c r="B917" s="10" t="s">
        <v>22</v>
      </c>
      <c r="C917" s="10" t="s">
        <v>1375</v>
      </c>
      <c r="D917" s="10" t="s">
        <v>1382</v>
      </c>
      <c r="E917" s="10" t="s">
        <v>1383</v>
      </c>
      <c r="F917" s="10">
        <v>34.464746890000001</v>
      </c>
      <c r="G917" s="10">
        <v>43.791234510000002</v>
      </c>
      <c r="H917" s="11">
        <v>910</v>
      </c>
      <c r="I917" s="11">
        <v>5460</v>
      </c>
      <c r="J917" s="11"/>
      <c r="K917" s="11"/>
      <c r="L917" s="11">
        <v>4</v>
      </c>
      <c r="M917" s="11"/>
      <c r="N917" s="11"/>
      <c r="O917" s="11"/>
      <c r="P917" s="11">
        <v>119</v>
      </c>
      <c r="Q917" s="11"/>
      <c r="R917" s="11">
        <v>529</v>
      </c>
      <c r="S917" s="11"/>
      <c r="T917" s="11"/>
      <c r="U917" s="11"/>
      <c r="V917" s="11"/>
      <c r="W917" s="11"/>
      <c r="X917" s="11">
        <v>185</v>
      </c>
      <c r="Y917" s="11">
        <v>73</v>
      </c>
      <c r="Z917" s="11"/>
      <c r="AA917" s="11"/>
      <c r="AB917" s="11"/>
      <c r="AC917" s="11">
        <v>910</v>
      </c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>
        <v>857</v>
      </c>
      <c r="AO917" s="11">
        <v>24</v>
      </c>
      <c r="AP917" s="11">
        <v>29</v>
      </c>
      <c r="AQ917" s="11"/>
      <c r="AR917" s="11"/>
      <c r="AS917" s="11"/>
      <c r="AT917" s="11"/>
      <c r="AU917" s="20" t="str">
        <f>HYPERLINK("http://www.openstreetmap.org/?mlat=34.4647&amp;mlon=43.7912&amp;zoom=12#map=12/34.4647/43.7912","Maplink1")</f>
        <v>Maplink1</v>
      </c>
      <c r="AV917" s="20" t="str">
        <f>HYPERLINK("https://www.google.iq/maps/search/+34.4647,43.7912/@34.4647,43.7912,14z?hl=en","Maplink2")</f>
        <v>Maplink2</v>
      </c>
      <c r="AW917" s="20" t="str">
        <f>HYPERLINK("http://www.bing.com/maps/?lvl=14&amp;sty=h&amp;cp=34.4647~43.7912&amp;sp=point.34.4647_43.7912","Maplink3")</f>
        <v>Maplink3</v>
      </c>
    </row>
    <row r="918" spans="1:49" s="19" customFormat="1" x14ac:dyDescent="0.25">
      <c r="A918" s="9">
        <v>26078</v>
      </c>
      <c r="B918" s="10" t="s">
        <v>22</v>
      </c>
      <c r="C918" s="10" t="s">
        <v>1375</v>
      </c>
      <c r="D918" s="10" t="s">
        <v>1384</v>
      </c>
      <c r="E918" s="10" t="s">
        <v>90</v>
      </c>
      <c r="F918" s="10">
        <v>34.462648479999999</v>
      </c>
      <c r="G918" s="10">
        <v>43.795100499999997</v>
      </c>
      <c r="H918" s="11">
        <v>831</v>
      </c>
      <c r="I918" s="11">
        <v>4986</v>
      </c>
      <c r="J918" s="11"/>
      <c r="K918" s="11"/>
      <c r="L918" s="11">
        <v>1</v>
      </c>
      <c r="M918" s="11"/>
      <c r="N918" s="11"/>
      <c r="O918" s="11"/>
      <c r="P918" s="11">
        <v>135</v>
      </c>
      <c r="Q918" s="11"/>
      <c r="R918" s="11">
        <v>471</v>
      </c>
      <c r="S918" s="11"/>
      <c r="T918" s="11"/>
      <c r="U918" s="11"/>
      <c r="V918" s="11"/>
      <c r="W918" s="11"/>
      <c r="X918" s="11">
        <v>100</v>
      </c>
      <c r="Y918" s="11">
        <v>124</v>
      </c>
      <c r="Z918" s="11"/>
      <c r="AA918" s="11"/>
      <c r="AB918" s="11"/>
      <c r="AC918" s="11">
        <v>827</v>
      </c>
      <c r="AD918" s="11"/>
      <c r="AE918" s="11"/>
      <c r="AF918" s="11"/>
      <c r="AG918" s="11"/>
      <c r="AH918" s="11"/>
      <c r="AI918" s="11">
        <v>4</v>
      </c>
      <c r="AJ918" s="11"/>
      <c r="AK918" s="11"/>
      <c r="AL918" s="11"/>
      <c r="AM918" s="11"/>
      <c r="AN918" s="11">
        <v>831</v>
      </c>
      <c r="AO918" s="11"/>
      <c r="AP918" s="11"/>
      <c r="AQ918" s="11"/>
      <c r="AR918" s="11"/>
      <c r="AS918" s="11"/>
      <c r="AT918" s="11"/>
      <c r="AU918" s="20" t="str">
        <f>HYPERLINK("http://www.openstreetmap.org/?mlat=34.4626&amp;mlon=43.7951&amp;zoom=12#map=12/34.4626/43.7951","Maplink1")</f>
        <v>Maplink1</v>
      </c>
      <c r="AV918" s="20" t="str">
        <f>HYPERLINK("https://www.google.iq/maps/search/+34.4626,43.7951/@34.4626,43.7951,14z?hl=en","Maplink2")</f>
        <v>Maplink2</v>
      </c>
      <c r="AW918" s="20" t="str">
        <f>HYPERLINK("http://www.bing.com/maps/?lvl=14&amp;sty=h&amp;cp=34.4626~43.7951&amp;sp=point.34.4626_43.7951","Maplink3")</f>
        <v>Maplink3</v>
      </c>
    </row>
    <row r="919" spans="1:49" s="19" customFormat="1" x14ac:dyDescent="0.25">
      <c r="A919" s="9">
        <v>26082</v>
      </c>
      <c r="B919" s="10" t="s">
        <v>22</v>
      </c>
      <c r="C919" s="10" t="s">
        <v>1375</v>
      </c>
      <c r="D919" s="10" t="s">
        <v>1385</v>
      </c>
      <c r="E919" s="10" t="s">
        <v>1386</v>
      </c>
      <c r="F919" s="10">
        <v>34.456560320000001</v>
      </c>
      <c r="G919" s="10">
        <v>43.805647530000002</v>
      </c>
      <c r="H919" s="11">
        <v>350</v>
      </c>
      <c r="I919" s="11">
        <v>2100</v>
      </c>
      <c r="J919" s="11"/>
      <c r="K919" s="11"/>
      <c r="L919" s="11">
        <v>5</v>
      </c>
      <c r="M919" s="11"/>
      <c r="N919" s="11"/>
      <c r="O919" s="11"/>
      <c r="P919" s="11">
        <v>50</v>
      </c>
      <c r="Q919" s="11"/>
      <c r="R919" s="11">
        <v>67</v>
      </c>
      <c r="S919" s="11"/>
      <c r="T919" s="11"/>
      <c r="U919" s="11"/>
      <c r="V919" s="11"/>
      <c r="W919" s="11"/>
      <c r="X919" s="11">
        <v>213</v>
      </c>
      <c r="Y919" s="11">
        <v>15</v>
      </c>
      <c r="Z919" s="11"/>
      <c r="AA919" s="11"/>
      <c r="AB919" s="11"/>
      <c r="AC919" s="11">
        <v>350</v>
      </c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>
        <v>305</v>
      </c>
      <c r="AO919" s="11">
        <v>45</v>
      </c>
      <c r="AP919" s="11"/>
      <c r="AQ919" s="11"/>
      <c r="AR919" s="11"/>
      <c r="AS919" s="11"/>
      <c r="AT919" s="11"/>
      <c r="AU919" s="20" t="str">
        <f>HYPERLINK("http://www.openstreetmap.org/?mlat=34.4566&amp;mlon=43.8056&amp;zoom=12#map=12/34.4566/43.8056","Maplink1")</f>
        <v>Maplink1</v>
      </c>
      <c r="AV919" s="20" t="str">
        <f>HYPERLINK("https://www.google.iq/maps/search/+34.4566,43.8056/@34.4566,43.8056,14z?hl=en","Maplink2")</f>
        <v>Maplink2</v>
      </c>
      <c r="AW919" s="20" t="str">
        <f>HYPERLINK("http://www.bing.com/maps/?lvl=14&amp;sty=h&amp;cp=34.4566~43.8056&amp;sp=point.34.4566_43.8056","Maplink3")</f>
        <v>Maplink3</v>
      </c>
    </row>
    <row r="920" spans="1:49" s="19" customFormat="1" x14ac:dyDescent="0.25">
      <c r="A920" s="9">
        <v>20713</v>
      </c>
      <c r="B920" s="10" t="s">
        <v>22</v>
      </c>
      <c r="C920" s="10" t="s">
        <v>1375</v>
      </c>
      <c r="D920" s="10" t="s">
        <v>1387</v>
      </c>
      <c r="E920" s="10" t="s">
        <v>1200</v>
      </c>
      <c r="F920" s="10">
        <v>34.473313150000003</v>
      </c>
      <c r="G920" s="10">
        <v>43.791285729999998</v>
      </c>
      <c r="H920" s="11">
        <v>748</v>
      </c>
      <c r="I920" s="11">
        <v>4488</v>
      </c>
      <c r="J920" s="11"/>
      <c r="K920" s="11"/>
      <c r="L920" s="11">
        <v>12</v>
      </c>
      <c r="M920" s="11"/>
      <c r="N920" s="11"/>
      <c r="O920" s="11"/>
      <c r="P920" s="11">
        <v>43</v>
      </c>
      <c r="Q920" s="11"/>
      <c r="R920" s="11">
        <v>408</v>
      </c>
      <c r="S920" s="11"/>
      <c r="T920" s="11"/>
      <c r="U920" s="11"/>
      <c r="V920" s="11"/>
      <c r="W920" s="11"/>
      <c r="X920" s="11">
        <v>194</v>
      </c>
      <c r="Y920" s="11">
        <v>91</v>
      </c>
      <c r="Z920" s="11"/>
      <c r="AA920" s="11"/>
      <c r="AB920" s="11"/>
      <c r="AC920" s="11">
        <v>735</v>
      </c>
      <c r="AD920" s="11"/>
      <c r="AE920" s="11"/>
      <c r="AF920" s="11"/>
      <c r="AG920" s="11"/>
      <c r="AH920" s="11"/>
      <c r="AI920" s="11">
        <v>13</v>
      </c>
      <c r="AJ920" s="11"/>
      <c r="AK920" s="11"/>
      <c r="AL920" s="11"/>
      <c r="AM920" s="11"/>
      <c r="AN920" s="11">
        <v>475</v>
      </c>
      <c r="AO920" s="11">
        <v>177</v>
      </c>
      <c r="AP920" s="11">
        <v>96</v>
      </c>
      <c r="AQ920" s="11"/>
      <c r="AR920" s="11"/>
      <c r="AS920" s="11"/>
      <c r="AT920" s="11"/>
      <c r="AU920" s="20" t="str">
        <f>HYPERLINK("http://www.openstreetmap.org/?mlat=34.4733&amp;mlon=43.7913&amp;zoom=12#map=12/34.4733/43.7913","Maplink1")</f>
        <v>Maplink1</v>
      </c>
      <c r="AV920" s="20" t="str">
        <f>HYPERLINK("https://www.google.iq/maps/search/+34.4733,43.7913/@34.4733,43.7913,14z?hl=en","Maplink2")</f>
        <v>Maplink2</v>
      </c>
      <c r="AW920" s="20" t="str">
        <f>HYPERLINK("http://www.bing.com/maps/?lvl=14&amp;sty=h&amp;cp=34.4733~43.7913&amp;sp=point.34.4733_43.7913","Maplink3")</f>
        <v>Maplink3</v>
      </c>
    </row>
    <row r="921" spans="1:49" s="19" customFormat="1" x14ac:dyDescent="0.25">
      <c r="A921" s="9">
        <v>26080</v>
      </c>
      <c r="B921" s="10" t="s">
        <v>22</v>
      </c>
      <c r="C921" s="10" t="s">
        <v>1375</v>
      </c>
      <c r="D921" s="10" t="s">
        <v>1388</v>
      </c>
      <c r="E921" s="10" t="s">
        <v>1389</v>
      </c>
      <c r="F921" s="10">
        <v>34.453507930000001</v>
      </c>
      <c r="G921" s="10">
        <v>43.79186232</v>
      </c>
      <c r="H921" s="11">
        <v>465</v>
      </c>
      <c r="I921" s="11">
        <v>2790</v>
      </c>
      <c r="J921" s="11"/>
      <c r="K921" s="11"/>
      <c r="L921" s="11"/>
      <c r="M921" s="11"/>
      <c r="N921" s="11"/>
      <c r="O921" s="11"/>
      <c r="P921" s="11">
        <v>67</v>
      </c>
      <c r="Q921" s="11"/>
      <c r="R921" s="11">
        <v>140</v>
      </c>
      <c r="S921" s="11"/>
      <c r="T921" s="11"/>
      <c r="U921" s="11"/>
      <c r="V921" s="11"/>
      <c r="W921" s="11"/>
      <c r="X921" s="11">
        <v>225</v>
      </c>
      <c r="Y921" s="11">
        <v>33</v>
      </c>
      <c r="Z921" s="11"/>
      <c r="AA921" s="11"/>
      <c r="AB921" s="11"/>
      <c r="AC921" s="11">
        <v>465</v>
      </c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>
        <v>398</v>
      </c>
      <c r="AO921" s="11">
        <v>53</v>
      </c>
      <c r="AP921" s="11">
        <v>14</v>
      </c>
      <c r="AQ921" s="11"/>
      <c r="AR921" s="11"/>
      <c r="AS921" s="11"/>
      <c r="AT921" s="11"/>
      <c r="AU921" s="20" t="str">
        <f>HYPERLINK("http://www.openstreetmap.org/?mlat=34.4535&amp;mlon=43.7919&amp;zoom=12#map=12/34.4535/43.7919","Maplink1")</f>
        <v>Maplink1</v>
      </c>
      <c r="AV921" s="20" t="str">
        <f>HYPERLINK("https://www.google.iq/maps/search/+34.4535,43.7919/@34.4535,43.7919,14z?hl=en","Maplink2")</f>
        <v>Maplink2</v>
      </c>
      <c r="AW921" s="20" t="str">
        <f>HYPERLINK("http://www.bing.com/maps/?lvl=14&amp;sty=h&amp;cp=34.4535~43.7919&amp;sp=point.34.4535_43.7919","Maplink3")</f>
        <v>Maplink3</v>
      </c>
    </row>
    <row r="922" spans="1:49" s="19" customFormat="1" x14ac:dyDescent="0.25">
      <c r="A922" s="9">
        <v>24620</v>
      </c>
      <c r="B922" s="10" t="s">
        <v>22</v>
      </c>
      <c r="C922" s="10" t="s">
        <v>1375</v>
      </c>
      <c r="D922" s="10" t="s">
        <v>1390</v>
      </c>
      <c r="E922" s="10" t="s">
        <v>1391</v>
      </c>
      <c r="F922" s="10">
        <v>34.456338076900003</v>
      </c>
      <c r="G922" s="10">
        <v>43.789170719700003</v>
      </c>
      <c r="H922" s="11">
        <v>65</v>
      </c>
      <c r="I922" s="11">
        <v>390</v>
      </c>
      <c r="J922" s="11"/>
      <c r="K922" s="11"/>
      <c r="L922" s="11"/>
      <c r="M922" s="11"/>
      <c r="N922" s="11"/>
      <c r="O922" s="11"/>
      <c r="P922" s="11">
        <v>9</v>
      </c>
      <c r="Q922" s="11"/>
      <c r="R922" s="11">
        <v>44</v>
      </c>
      <c r="S922" s="11"/>
      <c r="T922" s="11"/>
      <c r="U922" s="11"/>
      <c r="V922" s="11"/>
      <c r="W922" s="11"/>
      <c r="X922" s="11"/>
      <c r="Y922" s="11">
        <v>12</v>
      </c>
      <c r="Z922" s="11"/>
      <c r="AA922" s="11"/>
      <c r="AB922" s="11"/>
      <c r="AC922" s="11">
        <v>59</v>
      </c>
      <c r="AD922" s="11"/>
      <c r="AE922" s="11"/>
      <c r="AF922" s="11"/>
      <c r="AG922" s="11"/>
      <c r="AH922" s="11"/>
      <c r="AI922" s="11">
        <v>6</v>
      </c>
      <c r="AJ922" s="11"/>
      <c r="AK922" s="11"/>
      <c r="AL922" s="11"/>
      <c r="AM922" s="11"/>
      <c r="AN922" s="11">
        <v>58</v>
      </c>
      <c r="AO922" s="11">
        <v>7</v>
      </c>
      <c r="AP922" s="11"/>
      <c r="AQ922" s="11"/>
      <c r="AR922" s="11"/>
      <c r="AS922" s="11"/>
      <c r="AT922" s="11"/>
      <c r="AU922" s="20" t="str">
        <f>HYPERLINK("http://www.openstreetmap.org/?mlat=34.4563&amp;mlon=43.7892&amp;zoom=12#map=12/34.4563/43.7892","Maplink1")</f>
        <v>Maplink1</v>
      </c>
      <c r="AV922" s="20" t="str">
        <f>HYPERLINK("https://www.google.iq/maps/search/+34.4563,43.7892/@34.4563,43.7892,14z?hl=en","Maplink2")</f>
        <v>Maplink2</v>
      </c>
      <c r="AW922" s="20" t="str">
        <f>HYPERLINK("http://www.bing.com/maps/?lvl=14&amp;sty=h&amp;cp=34.4563~43.7892&amp;sp=point.34.4563_43.7892","Maplink3")</f>
        <v>Maplink3</v>
      </c>
    </row>
    <row r="923" spans="1:49" s="19" customFormat="1" x14ac:dyDescent="0.25">
      <c r="A923" s="9">
        <v>24619</v>
      </c>
      <c r="B923" s="10" t="s">
        <v>22</v>
      </c>
      <c r="C923" s="10" t="s">
        <v>1375</v>
      </c>
      <c r="D923" s="10" t="s">
        <v>1392</v>
      </c>
      <c r="E923" s="10" t="s">
        <v>1393</v>
      </c>
      <c r="F923" s="10">
        <v>34.4608830381</v>
      </c>
      <c r="G923" s="10">
        <v>43.7914831191</v>
      </c>
      <c r="H923" s="11">
        <v>179</v>
      </c>
      <c r="I923" s="11">
        <v>1074</v>
      </c>
      <c r="J923" s="11"/>
      <c r="K923" s="11"/>
      <c r="L923" s="11"/>
      <c r="M923" s="11"/>
      <c r="N923" s="11"/>
      <c r="O923" s="11"/>
      <c r="P923" s="11">
        <v>78</v>
      </c>
      <c r="Q923" s="11"/>
      <c r="R923" s="11">
        <v>80</v>
      </c>
      <c r="S923" s="11"/>
      <c r="T923" s="11"/>
      <c r="U923" s="11"/>
      <c r="V923" s="11"/>
      <c r="W923" s="11"/>
      <c r="X923" s="11"/>
      <c r="Y923" s="11">
        <v>21</v>
      </c>
      <c r="Z923" s="11"/>
      <c r="AA923" s="11"/>
      <c r="AB923" s="11"/>
      <c r="AC923" s="11">
        <v>179</v>
      </c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>
        <v>70</v>
      </c>
      <c r="AO923" s="11">
        <v>109</v>
      </c>
      <c r="AP923" s="11"/>
      <c r="AQ923" s="11"/>
      <c r="AR923" s="11"/>
      <c r="AS923" s="11"/>
      <c r="AT923" s="11"/>
      <c r="AU923" s="20" t="str">
        <f>HYPERLINK("http://www.openstreetmap.org/?mlat=34.4609&amp;mlon=43.7915&amp;zoom=12#map=12/34.4609/43.7915","Maplink1")</f>
        <v>Maplink1</v>
      </c>
      <c r="AV923" s="20" t="str">
        <f>HYPERLINK("https://www.google.iq/maps/search/+34.4609,43.7915/@34.4609,43.7915,14z?hl=en","Maplink2")</f>
        <v>Maplink2</v>
      </c>
      <c r="AW923" s="20" t="str">
        <f>HYPERLINK("http://www.bing.com/maps/?lvl=14&amp;sty=h&amp;cp=34.4609~43.7915&amp;sp=point.34.4609_43.7915","Maplink3")</f>
        <v>Maplink3</v>
      </c>
    </row>
    <row r="924" spans="1:49" s="19" customFormat="1" x14ac:dyDescent="0.25">
      <c r="A924" s="9">
        <v>26077</v>
      </c>
      <c r="B924" s="10" t="s">
        <v>22</v>
      </c>
      <c r="C924" s="10" t="s">
        <v>1375</v>
      </c>
      <c r="D924" s="10" t="s">
        <v>1394</v>
      </c>
      <c r="E924" s="10" t="s">
        <v>1395</v>
      </c>
      <c r="F924" s="10">
        <v>34.446231679999997</v>
      </c>
      <c r="G924" s="10">
        <v>43.797421450000002</v>
      </c>
      <c r="H924" s="11">
        <v>1210</v>
      </c>
      <c r="I924" s="11">
        <v>7260</v>
      </c>
      <c r="J924" s="11"/>
      <c r="K924" s="11"/>
      <c r="L924" s="11"/>
      <c r="M924" s="11"/>
      <c r="N924" s="11"/>
      <c r="O924" s="11"/>
      <c r="P924" s="11">
        <v>106</v>
      </c>
      <c r="Q924" s="11"/>
      <c r="R924" s="11">
        <v>725</v>
      </c>
      <c r="S924" s="11"/>
      <c r="T924" s="11"/>
      <c r="U924" s="11"/>
      <c r="V924" s="11"/>
      <c r="W924" s="11"/>
      <c r="X924" s="11">
        <v>379</v>
      </c>
      <c r="Y924" s="11"/>
      <c r="Z924" s="11"/>
      <c r="AA924" s="11"/>
      <c r="AB924" s="11"/>
      <c r="AC924" s="11">
        <v>1210</v>
      </c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>
        <v>1190</v>
      </c>
      <c r="AO924" s="11">
        <v>20</v>
      </c>
      <c r="AP924" s="11"/>
      <c r="AQ924" s="11"/>
      <c r="AR924" s="11"/>
      <c r="AS924" s="11"/>
      <c r="AT924" s="11"/>
      <c r="AU924" s="20" t="str">
        <f>HYPERLINK("http://www.openstreetmap.org/?mlat=34.4462&amp;mlon=43.7974&amp;zoom=12#map=12/34.4462/43.7974","Maplink1")</f>
        <v>Maplink1</v>
      </c>
      <c r="AV924" s="20" t="str">
        <f>HYPERLINK("https://www.google.iq/maps/search/+34.4462,43.7974/@34.4462,43.7974,14z?hl=en","Maplink2")</f>
        <v>Maplink2</v>
      </c>
      <c r="AW924" s="20" t="str">
        <f>HYPERLINK("http://www.bing.com/maps/?lvl=14&amp;sty=h&amp;cp=34.4462~43.7974&amp;sp=point.34.4462_43.7974","Maplink3")</f>
        <v>Maplink3</v>
      </c>
    </row>
    <row r="925" spans="1:49" s="19" customFormat="1" x14ac:dyDescent="0.25">
      <c r="A925" s="9">
        <v>28420</v>
      </c>
      <c r="B925" s="10" t="s">
        <v>22</v>
      </c>
      <c r="C925" s="10" t="s">
        <v>1396</v>
      </c>
      <c r="D925" s="10" t="s">
        <v>2017</v>
      </c>
      <c r="E925" s="10" t="s">
        <v>1397</v>
      </c>
      <c r="F925" s="10">
        <v>33.889831999999998</v>
      </c>
      <c r="G925" s="10">
        <v>44.355066999999998</v>
      </c>
      <c r="H925" s="11">
        <v>512</v>
      </c>
      <c r="I925" s="11">
        <v>3072</v>
      </c>
      <c r="J925" s="11"/>
      <c r="K925" s="11"/>
      <c r="L925" s="11">
        <v>62</v>
      </c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>
        <v>450</v>
      </c>
      <c r="Y925" s="11"/>
      <c r="Z925" s="11"/>
      <c r="AA925" s="11"/>
      <c r="AB925" s="11"/>
      <c r="AC925" s="11">
        <v>375</v>
      </c>
      <c r="AD925" s="11">
        <v>137</v>
      </c>
      <c r="AE925" s="11"/>
      <c r="AF925" s="11"/>
      <c r="AG925" s="11"/>
      <c r="AH925" s="11"/>
      <c r="AI925" s="11"/>
      <c r="AJ925" s="11"/>
      <c r="AK925" s="11"/>
      <c r="AL925" s="11"/>
      <c r="AM925" s="11"/>
      <c r="AN925" s="11">
        <v>512</v>
      </c>
      <c r="AO925" s="11"/>
      <c r="AP925" s="11"/>
      <c r="AQ925" s="11"/>
      <c r="AR925" s="11"/>
      <c r="AS925" s="11"/>
      <c r="AT925" s="11"/>
      <c r="AU925" s="20" t="str">
        <f>HYPERLINK("http://www.openstreetmap.org/?mlat=33.8898&amp;mlon=44.3551&amp;zoom=12#map=12/33.8898/44.3551","Maplink1")</f>
        <v>Maplink1</v>
      </c>
      <c r="AV925" s="20" t="str">
        <f>HYPERLINK("https://www.google.iq/maps/search/+33.8898,44.3551/@33.8898,44.3551,14z?hl=en","Maplink2")</f>
        <v>Maplink2</v>
      </c>
      <c r="AW925" s="20" t="str">
        <f>HYPERLINK("http://www.bing.com/maps/?lvl=14&amp;sty=h&amp;cp=33.8898~44.3551&amp;sp=point.33.8898_44.3551","Maplink3")</f>
        <v>Maplink3</v>
      </c>
    </row>
    <row r="926" spans="1:49" s="19" customFormat="1" x14ac:dyDescent="0.25">
      <c r="A926" s="9">
        <v>25947</v>
      </c>
      <c r="B926" s="10" t="s">
        <v>22</v>
      </c>
      <c r="C926" s="10" t="s">
        <v>1396</v>
      </c>
      <c r="D926" s="10" t="s">
        <v>2018</v>
      </c>
      <c r="E926" s="10" t="s">
        <v>1398</v>
      </c>
      <c r="F926" s="10">
        <v>33.909243490000001</v>
      </c>
      <c r="G926" s="10">
        <v>44.183530609999998</v>
      </c>
      <c r="H926" s="11">
        <v>543</v>
      </c>
      <c r="I926" s="11">
        <v>3258</v>
      </c>
      <c r="J926" s="11"/>
      <c r="K926" s="11"/>
      <c r="L926" s="11">
        <v>130</v>
      </c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>
        <v>413</v>
      </c>
      <c r="Y926" s="11"/>
      <c r="Z926" s="11"/>
      <c r="AA926" s="11"/>
      <c r="AB926" s="11"/>
      <c r="AC926" s="11">
        <v>480</v>
      </c>
      <c r="AD926" s="11">
        <v>63</v>
      </c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>
        <v>443</v>
      </c>
      <c r="AP926" s="11">
        <v>100</v>
      </c>
      <c r="AQ926" s="11"/>
      <c r="AR926" s="11"/>
      <c r="AS926" s="11"/>
      <c r="AT926" s="11"/>
      <c r="AU926" s="20" t="str">
        <f>HYPERLINK("http://www.openstreetmap.org/?mlat=33.9092&amp;mlon=44.1835&amp;zoom=12#map=12/33.9092/44.1835","Maplink1")</f>
        <v>Maplink1</v>
      </c>
      <c r="AV926" s="20" t="str">
        <f>HYPERLINK("https://www.google.iq/maps/search/+33.9092,44.1835/@33.9092,44.1835,14z?hl=en","Maplink2")</f>
        <v>Maplink2</v>
      </c>
      <c r="AW926" s="20" t="str">
        <f>HYPERLINK("http://www.bing.com/maps/?lvl=14&amp;sty=h&amp;cp=33.9092~44.1835&amp;sp=point.33.9092_44.1835","Maplink3")</f>
        <v>Maplink3</v>
      </c>
    </row>
    <row r="927" spans="1:49" s="19" customFormat="1" x14ac:dyDescent="0.25">
      <c r="A927" s="9">
        <v>23300</v>
      </c>
      <c r="B927" s="10" t="s">
        <v>22</v>
      </c>
      <c r="C927" s="10" t="s">
        <v>1399</v>
      </c>
      <c r="D927" s="10" t="s">
        <v>1400</v>
      </c>
      <c r="E927" s="10" t="s">
        <v>1401</v>
      </c>
      <c r="F927" s="10">
        <v>35.440358000000003</v>
      </c>
      <c r="G927" s="10">
        <v>43.219168000000003</v>
      </c>
      <c r="H927" s="11">
        <v>172</v>
      </c>
      <c r="I927" s="11">
        <v>1032</v>
      </c>
      <c r="J927" s="11"/>
      <c r="K927" s="11"/>
      <c r="L927" s="11"/>
      <c r="M927" s="11"/>
      <c r="N927" s="11"/>
      <c r="O927" s="11"/>
      <c r="P927" s="11">
        <v>45</v>
      </c>
      <c r="Q927" s="11"/>
      <c r="R927" s="11">
        <v>29</v>
      </c>
      <c r="S927" s="11"/>
      <c r="T927" s="11"/>
      <c r="U927" s="11"/>
      <c r="V927" s="11"/>
      <c r="W927" s="11"/>
      <c r="X927" s="11">
        <v>98</v>
      </c>
      <c r="Y927" s="11"/>
      <c r="Z927" s="11"/>
      <c r="AA927" s="11"/>
      <c r="AB927" s="11"/>
      <c r="AC927" s="11">
        <v>167</v>
      </c>
      <c r="AD927" s="11"/>
      <c r="AE927" s="11"/>
      <c r="AF927" s="11"/>
      <c r="AG927" s="11"/>
      <c r="AH927" s="11"/>
      <c r="AI927" s="11">
        <v>5</v>
      </c>
      <c r="AJ927" s="11"/>
      <c r="AK927" s="11"/>
      <c r="AL927" s="11"/>
      <c r="AM927" s="11"/>
      <c r="AN927" s="11">
        <v>56</v>
      </c>
      <c r="AO927" s="11">
        <v>113</v>
      </c>
      <c r="AP927" s="11"/>
      <c r="AQ927" s="11">
        <v>3</v>
      </c>
      <c r="AR927" s="11"/>
      <c r="AS927" s="11"/>
      <c r="AT927" s="11"/>
      <c r="AU927" s="20" t="str">
        <f>HYPERLINK("http://www.openstreetmap.org/?mlat=35.4404&amp;mlon=43.2192&amp;zoom=12#map=12/35.4404/43.2192","Maplink1")</f>
        <v>Maplink1</v>
      </c>
      <c r="AV927" s="20" t="str">
        <f>HYPERLINK("https://www.google.iq/maps/search/+35.4404,43.2192/@35.4404,43.2192,14z?hl=en","Maplink2")</f>
        <v>Maplink2</v>
      </c>
      <c r="AW927" s="20" t="str">
        <f>HYPERLINK("http://www.bing.com/maps/?lvl=14&amp;sty=h&amp;cp=35.4404~43.2192&amp;sp=point.35.4404_43.2192","Maplink3")</f>
        <v>Maplink3</v>
      </c>
    </row>
    <row r="928" spans="1:49" s="19" customFormat="1" x14ac:dyDescent="0.25">
      <c r="A928" s="9">
        <v>20392</v>
      </c>
      <c r="B928" s="10" t="s">
        <v>22</v>
      </c>
      <c r="C928" s="10" t="s">
        <v>1399</v>
      </c>
      <c r="D928" s="10" t="s">
        <v>1403</v>
      </c>
      <c r="E928" s="10" t="s">
        <v>1404</v>
      </c>
      <c r="F928" s="10">
        <v>35.610805999999997</v>
      </c>
      <c r="G928" s="10">
        <v>43.245241999999998</v>
      </c>
      <c r="H928" s="11">
        <v>221</v>
      </c>
      <c r="I928" s="11">
        <v>1326</v>
      </c>
      <c r="J928" s="11"/>
      <c r="K928" s="11"/>
      <c r="L928" s="11"/>
      <c r="M928" s="11"/>
      <c r="N928" s="11"/>
      <c r="O928" s="11"/>
      <c r="P928" s="11">
        <v>27</v>
      </c>
      <c r="Q928" s="11"/>
      <c r="R928" s="11">
        <v>71</v>
      </c>
      <c r="S928" s="11"/>
      <c r="T928" s="11"/>
      <c r="U928" s="11"/>
      <c r="V928" s="11"/>
      <c r="W928" s="11"/>
      <c r="X928" s="11">
        <v>123</v>
      </c>
      <c r="Y928" s="11"/>
      <c r="Z928" s="11"/>
      <c r="AA928" s="11"/>
      <c r="AB928" s="11"/>
      <c r="AC928" s="11">
        <v>197</v>
      </c>
      <c r="AD928" s="11">
        <v>13</v>
      </c>
      <c r="AE928" s="11"/>
      <c r="AF928" s="11"/>
      <c r="AG928" s="11"/>
      <c r="AH928" s="11"/>
      <c r="AI928" s="11">
        <v>10</v>
      </c>
      <c r="AJ928" s="11"/>
      <c r="AK928" s="11"/>
      <c r="AL928" s="11">
        <v>1</v>
      </c>
      <c r="AM928" s="11"/>
      <c r="AN928" s="11">
        <v>124</v>
      </c>
      <c r="AO928" s="11">
        <v>60</v>
      </c>
      <c r="AP928" s="11">
        <v>23</v>
      </c>
      <c r="AQ928" s="11"/>
      <c r="AR928" s="11">
        <v>13</v>
      </c>
      <c r="AS928" s="11">
        <v>1</v>
      </c>
      <c r="AT928" s="11"/>
      <c r="AU928" s="20" t="str">
        <f>HYPERLINK("http://www.openstreetmap.org/?mlat=35.6108&amp;mlon=43.2452&amp;zoom=12#map=12/35.6108/43.2452","Maplink1")</f>
        <v>Maplink1</v>
      </c>
      <c r="AV928" s="20" t="str">
        <f>HYPERLINK("https://www.google.iq/maps/search/+35.6108,43.2452/@35.6108,43.2452,14z?hl=en","Maplink2")</f>
        <v>Maplink2</v>
      </c>
      <c r="AW928" s="20" t="str">
        <f>HYPERLINK("http://www.bing.com/maps/?lvl=14&amp;sty=h&amp;cp=35.6108~43.2452&amp;sp=point.35.6108_43.2452","Maplink3")</f>
        <v>Maplink3</v>
      </c>
    </row>
    <row r="929" spans="1:49" s="19" customFormat="1" x14ac:dyDescent="0.25">
      <c r="A929" s="9">
        <v>21002</v>
      </c>
      <c r="B929" s="10" t="s">
        <v>22</v>
      </c>
      <c r="C929" s="10" t="s">
        <v>1399</v>
      </c>
      <c r="D929" s="10" t="s">
        <v>1405</v>
      </c>
      <c r="E929" s="10" t="s">
        <v>1406</v>
      </c>
      <c r="F929" s="10">
        <v>35.392522</v>
      </c>
      <c r="G929" s="10">
        <v>43.259435000000003</v>
      </c>
      <c r="H929" s="11">
        <v>145</v>
      </c>
      <c r="I929" s="11">
        <v>870</v>
      </c>
      <c r="J929" s="11"/>
      <c r="K929" s="11"/>
      <c r="L929" s="11"/>
      <c r="M929" s="11"/>
      <c r="N929" s="11"/>
      <c r="O929" s="11"/>
      <c r="P929" s="11">
        <v>32</v>
      </c>
      <c r="Q929" s="11"/>
      <c r="R929" s="11">
        <v>25</v>
      </c>
      <c r="S929" s="11"/>
      <c r="T929" s="11"/>
      <c r="U929" s="11"/>
      <c r="V929" s="11"/>
      <c r="W929" s="11"/>
      <c r="X929" s="11">
        <v>88</v>
      </c>
      <c r="Y929" s="11"/>
      <c r="Z929" s="11"/>
      <c r="AA929" s="11"/>
      <c r="AB929" s="11"/>
      <c r="AC929" s="11">
        <v>145</v>
      </c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>
        <v>90</v>
      </c>
      <c r="AO929" s="11">
        <v>55</v>
      </c>
      <c r="AP929" s="11"/>
      <c r="AQ929" s="11"/>
      <c r="AR929" s="11"/>
      <c r="AS929" s="11"/>
      <c r="AT929" s="11"/>
      <c r="AU929" s="20" t="str">
        <f>HYPERLINK("http://www.openstreetmap.org/?mlat=35.3925&amp;mlon=43.2594&amp;zoom=12#map=12/35.3925/43.2594","Maplink1")</f>
        <v>Maplink1</v>
      </c>
      <c r="AV929" s="20" t="str">
        <f>HYPERLINK("https://www.google.iq/maps/search/+35.3925,43.2594/@35.3925,43.2594,14z?hl=en","Maplink2")</f>
        <v>Maplink2</v>
      </c>
      <c r="AW929" s="20" t="str">
        <f>HYPERLINK("http://www.bing.com/maps/?lvl=14&amp;sty=h&amp;cp=35.3925~43.2594&amp;sp=point.35.3925_43.2594","Maplink3")</f>
        <v>Maplink3</v>
      </c>
    </row>
    <row r="930" spans="1:49" s="19" customFormat="1" x14ac:dyDescent="0.25">
      <c r="A930" s="9">
        <v>24667</v>
      </c>
      <c r="B930" s="10" t="s">
        <v>22</v>
      </c>
      <c r="C930" s="10" t="s">
        <v>1399</v>
      </c>
      <c r="D930" s="10" t="s">
        <v>1407</v>
      </c>
      <c r="E930" s="10" t="s">
        <v>1408</v>
      </c>
      <c r="F930" s="10">
        <v>35.474212999999999</v>
      </c>
      <c r="G930" s="10">
        <v>43.239139999999999</v>
      </c>
      <c r="H930" s="11">
        <v>126</v>
      </c>
      <c r="I930" s="11">
        <v>756</v>
      </c>
      <c r="J930" s="11"/>
      <c r="K930" s="11"/>
      <c r="L930" s="11"/>
      <c r="M930" s="11"/>
      <c r="N930" s="11"/>
      <c r="O930" s="11"/>
      <c r="P930" s="11">
        <v>18</v>
      </c>
      <c r="Q930" s="11"/>
      <c r="R930" s="11">
        <v>23</v>
      </c>
      <c r="S930" s="11"/>
      <c r="T930" s="11"/>
      <c r="U930" s="11"/>
      <c r="V930" s="11"/>
      <c r="W930" s="11"/>
      <c r="X930" s="11">
        <v>85</v>
      </c>
      <c r="Y930" s="11"/>
      <c r="Z930" s="11"/>
      <c r="AA930" s="11"/>
      <c r="AB930" s="11"/>
      <c r="AC930" s="11">
        <v>109</v>
      </c>
      <c r="AD930" s="11"/>
      <c r="AE930" s="11"/>
      <c r="AF930" s="11">
        <v>3</v>
      </c>
      <c r="AG930" s="11"/>
      <c r="AH930" s="11"/>
      <c r="AI930" s="11">
        <v>14</v>
      </c>
      <c r="AJ930" s="11"/>
      <c r="AK930" s="11"/>
      <c r="AL930" s="11"/>
      <c r="AM930" s="11"/>
      <c r="AN930" s="11">
        <v>96</v>
      </c>
      <c r="AO930" s="11">
        <v>7</v>
      </c>
      <c r="AP930" s="11">
        <v>18</v>
      </c>
      <c r="AQ930" s="11"/>
      <c r="AR930" s="11">
        <v>5</v>
      </c>
      <c r="AS930" s="11"/>
      <c r="AT930" s="11"/>
      <c r="AU930" s="20" t="str">
        <f>HYPERLINK("http://www.openstreetmap.org/?mlat=35.4742&amp;mlon=43.2391&amp;zoom=12#map=12/35.4742/43.2391","Maplink1")</f>
        <v>Maplink1</v>
      </c>
      <c r="AV930" s="20" t="str">
        <f>HYPERLINK("https://www.google.iq/maps/search/+35.4742,43.2391/@35.4742,43.2391,14z?hl=en","Maplink2")</f>
        <v>Maplink2</v>
      </c>
      <c r="AW930" s="20" t="str">
        <f>HYPERLINK("http://www.bing.com/maps/?lvl=14&amp;sty=h&amp;cp=35.4742~43.2391&amp;sp=point.35.4742_43.2391","Maplink3")</f>
        <v>Maplink3</v>
      </c>
    </row>
    <row r="931" spans="1:49" s="19" customFormat="1" x14ac:dyDescent="0.25">
      <c r="A931" s="9">
        <v>20389</v>
      </c>
      <c r="B931" s="10" t="s">
        <v>22</v>
      </c>
      <c r="C931" s="10" t="s">
        <v>1399</v>
      </c>
      <c r="D931" s="10" t="s">
        <v>1409</v>
      </c>
      <c r="E931" s="10" t="s">
        <v>1410</v>
      </c>
      <c r="F931" s="10">
        <v>35.630723862700002</v>
      </c>
      <c r="G931" s="10">
        <v>43.225923059000003</v>
      </c>
      <c r="H931" s="11">
        <v>283</v>
      </c>
      <c r="I931" s="11">
        <v>1698</v>
      </c>
      <c r="J931" s="11"/>
      <c r="K931" s="11"/>
      <c r="L931" s="11"/>
      <c r="M931" s="11"/>
      <c r="N931" s="11"/>
      <c r="O931" s="11"/>
      <c r="P931" s="11">
        <v>23</v>
      </c>
      <c r="Q931" s="11"/>
      <c r="R931" s="11">
        <v>67</v>
      </c>
      <c r="S931" s="11"/>
      <c r="T931" s="11"/>
      <c r="U931" s="11"/>
      <c r="V931" s="11"/>
      <c r="W931" s="11"/>
      <c r="X931" s="11">
        <v>193</v>
      </c>
      <c r="Y931" s="11"/>
      <c r="Z931" s="11"/>
      <c r="AA931" s="11"/>
      <c r="AB931" s="11"/>
      <c r="AC931" s="11">
        <v>264</v>
      </c>
      <c r="AD931" s="11"/>
      <c r="AE931" s="11"/>
      <c r="AF931" s="11">
        <v>19</v>
      </c>
      <c r="AG931" s="11"/>
      <c r="AH931" s="11"/>
      <c r="AI931" s="11"/>
      <c r="AJ931" s="11"/>
      <c r="AK931" s="11"/>
      <c r="AL931" s="11"/>
      <c r="AM931" s="11"/>
      <c r="AN931" s="11">
        <v>112</v>
      </c>
      <c r="AO931" s="11">
        <v>128</v>
      </c>
      <c r="AP931" s="11">
        <v>11</v>
      </c>
      <c r="AQ931" s="11">
        <v>14</v>
      </c>
      <c r="AR931" s="11">
        <v>13</v>
      </c>
      <c r="AS931" s="11">
        <v>5</v>
      </c>
      <c r="AT931" s="11"/>
      <c r="AU931" s="20" t="str">
        <f>HYPERLINK("http://www.openstreetmap.org/?mlat=35.6307&amp;mlon=43.2259&amp;zoom=12#map=12/35.6307/43.2259","Maplink1")</f>
        <v>Maplink1</v>
      </c>
      <c r="AV931" s="20" t="str">
        <f>HYPERLINK("https://www.google.iq/maps/search/+35.6307,43.2259/@35.6307,43.2259,14z?hl=en","Maplink2")</f>
        <v>Maplink2</v>
      </c>
      <c r="AW931" s="20" t="str">
        <f>HYPERLINK("http://www.bing.com/maps/?lvl=14&amp;sty=h&amp;cp=35.6307~43.2259&amp;sp=point.35.6307_43.2259","Maplink3")</f>
        <v>Maplink3</v>
      </c>
    </row>
    <row r="932" spans="1:49" s="19" customFormat="1" x14ac:dyDescent="0.25">
      <c r="A932" s="9">
        <v>29650</v>
      </c>
      <c r="B932" s="10" t="s">
        <v>22</v>
      </c>
      <c r="C932" s="10" t="s">
        <v>1399</v>
      </c>
      <c r="D932" s="10" t="s">
        <v>1411</v>
      </c>
      <c r="E932" s="10" t="s">
        <v>1412</v>
      </c>
      <c r="F932" s="10">
        <v>35.588102795399998</v>
      </c>
      <c r="G932" s="10">
        <v>43.240881109299998</v>
      </c>
      <c r="H932" s="11">
        <v>286</v>
      </c>
      <c r="I932" s="11">
        <v>1716</v>
      </c>
      <c r="J932" s="11"/>
      <c r="K932" s="11"/>
      <c r="L932" s="11">
        <v>24</v>
      </c>
      <c r="M932" s="11">
        <v>10</v>
      </c>
      <c r="N932" s="11"/>
      <c r="O932" s="11"/>
      <c r="P932" s="11">
        <v>43</v>
      </c>
      <c r="Q932" s="11"/>
      <c r="R932" s="11">
        <v>92</v>
      </c>
      <c r="S932" s="11"/>
      <c r="T932" s="11"/>
      <c r="U932" s="11"/>
      <c r="V932" s="11"/>
      <c r="W932" s="11"/>
      <c r="X932" s="11">
        <v>110</v>
      </c>
      <c r="Y932" s="11">
        <v>7</v>
      </c>
      <c r="Z932" s="11"/>
      <c r="AA932" s="11"/>
      <c r="AB932" s="11"/>
      <c r="AC932" s="11">
        <v>262</v>
      </c>
      <c r="AD932" s="11"/>
      <c r="AE932" s="11"/>
      <c r="AF932" s="11">
        <v>20</v>
      </c>
      <c r="AG932" s="11"/>
      <c r="AH932" s="11"/>
      <c r="AI932" s="11">
        <v>4</v>
      </c>
      <c r="AJ932" s="11"/>
      <c r="AK932" s="11"/>
      <c r="AL932" s="11"/>
      <c r="AM932" s="11"/>
      <c r="AN932" s="11">
        <v>142</v>
      </c>
      <c r="AO932" s="11">
        <v>116</v>
      </c>
      <c r="AP932" s="11">
        <v>28</v>
      </c>
      <c r="AQ932" s="11"/>
      <c r="AR932" s="11"/>
      <c r="AS932" s="11"/>
      <c r="AT932" s="11"/>
      <c r="AU932" s="20" t="str">
        <f>HYPERLINK("http://www.openstreetmap.org/?mlat=35.5881&amp;mlon=43.2409&amp;zoom=12#map=12/35.5881/43.2409","Maplink1")</f>
        <v>Maplink1</v>
      </c>
      <c r="AV932" s="20" t="str">
        <f>HYPERLINK("https://www.google.iq/maps/search/+35.5881,43.2409/@35.5881,43.2409,14z?hl=en","Maplink2")</f>
        <v>Maplink2</v>
      </c>
      <c r="AW932" s="20" t="str">
        <f>HYPERLINK("http://www.bing.com/maps/?lvl=14&amp;sty=h&amp;cp=35.5881~43.2409&amp;sp=point.35.5881_43.2409","Maplink3")</f>
        <v>Maplink3</v>
      </c>
    </row>
    <row r="933" spans="1:49" s="19" customFormat="1" x14ac:dyDescent="0.25">
      <c r="A933" s="9">
        <v>29664</v>
      </c>
      <c r="B933" s="10" t="s">
        <v>22</v>
      </c>
      <c r="C933" s="10" t="s">
        <v>1399</v>
      </c>
      <c r="D933" s="10" t="s">
        <v>1413</v>
      </c>
      <c r="E933" s="10" t="s">
        <v>1414</v>
      </c>
      <c r="F933" s="10">
        <v>35.341248999999998</v>
      </c>
      <c r="G933" s="10">
        <v>43.272210000000001</v>
      </c>
      <c r="H933" s="11">
        <v>160</v>
      </c>
      <c r="I933" s="11">
        <v>960</v>
      </c>
      <c r="J933" s="11"/>
      <c r="K933" s="11"/>
      <c r="L933" s="11"/>
      <c r="M933" s="11"/>
      <c r="N933" s="11"/>
      <c r="O933" s="11"/>
      <c r="P933" s="11">
        <v>20</v>
      </c>
      <c r="Q933" s="11"/>
      <c r="R933" s="11"/>
      <c r="S933" s="11">
        <v>30</v>
      </c>
      <c r="T933" s="11"/>
      <c r="U933" s="11"/>
      <c r="V933" s="11"/>
      <c r="W933" s="11"/>
      <c r="X933" s="11">
        <v>70</v>
      </c>
      <c r="Y933" s="11">
        <v>40</v>
      </c>
      <c r="Z933" s="11"/>
      <c r="AA933" s="11"/>
      <c r="AB933" s="11"/>
      <c r="AC933" s="11">
        <v>75</v>
      </c>
      <c r="AD933" s="11">
        <v>10</v>
      </c>
      <c r="AE933" s="11"/>
      <c r="AF933" s="11">
        <v>5</v>
      </c>
      <c r="AG933" s="11"/>
      <c r="AH933" s="11"/>
      <c r="AI933" s="11">
        <v>70</v>
      </c>
      <c r="AJ933" s="11"/>
      <c r="AK933" s="11"/>
      <c r="AL933" s="11"/>
      <c r="AM933" s="11"/>
      <c r="AN933" s="11"/>
      <c r="AO933" s="11">
        <v>20</v>
      </c>
      <c r="AP933" s="11">
        <v>15</v>
      </c>
      <c r="AQ933" s="11">
        <v>25</v>
      </c>
      <c r="AR933" s="11">
        <v>20</v>
      </c>
      <c r="AS933" s="11">
        <v>73</v>
      </c>
      <c r="AT933" s="11">
        <v>7</v>
      </c>
      <c r="AU933" s="20" t="str">
        <f>HYPERLINK("http://www.openstreetmap.org/?mlat=35.3412&amp;mlon=43.2722&amp;zoom=12#map=12/35.3412/43.2722","Maplink1")</f>
        <v>Maplink1</v>
      </c>
      <c r="AV933" s="20" t="str">
        <f>HYPERLINK("https://www.google.iq/maps/search/+35.3412,43.2722/@35.3412,43.2722,14z?hl=en","Maplink2")</f>
        <v>Maplink2</v>
      </c>
      <c r="AW933" s="20" t="str">
        <f>HYPERLINK("http://www.bing.com/maps/?lvl=14&amp;sty=h&amp;cp=35.3412~43.2722&amp;sp=point.35.3412_43.2722","Maplink3")</f>
        <v>Maplink3</v>
      </c>
    </row>
    <row r="934" spans="1:49" s="19" customFormat="1" x14ac:dyDescent="0.25">
      <c r="A934" s="9">
        <v>33125</v>
      </c>
      <c r="B934" s="10" t="s">
        <v>22</v>
      </c>
      <c r="C934" s="10" t="s">
        <v>1399</v>
      </c>
      <c r="D934" s="10" t="s">
        <v>1658</v>
      </c>
      <c r="E934" s="10" t="s">
        <v>1659</v>
      </c>
      <c r="F934" s="10">
        <v>35.254700999999997</v>
      </c>
      <c r="G934" s="10">
        <v>43.266388999999997</v>
      </c>
      <c r="H934" s="11">
        <v>108</v>
      </c>
      <c r="I934" s="11">
        <v>648</v>
      </c>
      <c r="J934" s="11"/>
      <c r="K934" s="11"/>
      <c r="L934" s="11"/>
      <c r="M934" s="11"/>
      <c r="N934" s="11"/>
      <c r="O934" s="11"/>
      <c r="P934" s="11"/>
      <c r="Q934" s="11"/>
      <c r="R934" s="11">
        <v>4</v>
      </c>
      <c r="S934" s="11"/>
      <c r="T934" s="11"/>
      <c r="U934" s="11"/>
      <c r="V934" s="11"/>
      <c r="W934" s="11"/>
      <c r="X934" s="11">
        <v>104</v>
      </c>
      <c r="Y934" s="11"/>
      <c r="Z934" s="11"/>
      <c r="AA934" s="11"/>
      <c r="AB934" s="11"/>
      <c r="AC934" s="11">
        <v>92</v>
      </c>
      <c r="AD934" s="11">
        <v>10</v>
      </c>
      <c r="AE934" s="11"/>
      <c r="AF934" s="11"/>
      <c r="AG934" s="11"/>
      <c r="AH934" s="11"/>
      <c r="AI934" s="11">
        <v>6</v>
      </c>
      <c r="AJ934" s="11"/>
      <c r="AK934" s="11"/>
      <c r="AL934" s="11"/>
      <c r="AM934" s="11"/>
      <c r="AN934" s="11">
        <v>13</v>
      </c>
      <c r="AO934" s="11">
        <v>31</v>
      </c>
      <c r="AP934" s="11">
        <v>20</v>
      </c>
      <c r="AQ934" s="11">
        <v>24</v>
      </c>
      <c r="AR934" s="11">
        <v>13</v>
      </c>
      <c r="AS934" s="11">
        <v>7</v>
      </c>
      <c r="AT934" s="11"/>
      <c r="AU934" s="20" t="str">
        <f>HYPERLINK("http://www.openstreetmap.org/?mlat=35.2547&amp;mlon=43.2664&amp;zoom=12#map=12/35.2547/43.2664","Maplink1")</f>
        <v>Maplink1</v>
      </c>
      <c r="AV934" s="20" t="str">
        <f>HYPERLINK("https://www.google.iq/maps/search/+35.2547,43.2664/@35.2547,43.2664,14z?hl=en","Maplink2")</f>
        <v>Maplink2</v>
      </c>
      <c r="AW934" s="20" t="str">
        <f>HYPERLINK("http://www.bing.com/maps/?lvl=14&amp;sty=h&amp;cp=35.2547~43.2664&amp;sp=point.35.2547_43.2664","Maplink3")</f>
        <v>Maplink3</v>
      </c>
    </row>
    <row r="935" spans="1:49" s="19" customFormat="1" x14ac:dyDescent="0.25">
      <c r="A935" s="9">
        <v>33128</v>
      </c>
      <c r="B935" s="10" t="s">
        <v>22</v>
      </c>
      <c r="C935" s="10" t="s">
        <v>1399</v>
      </c>
      <c r="D935" s="10" t="s">
        <v>1660</v>
      </c>
      <c r="E935" s="10" t="s">
        <v>1661</v>
      </c>
      <c r="F935" s="10">
        <v>35.560485</v>
      </c>
      <c r="G935" s="10">
        <v>43.275106000000001</v>
      </c>
      <c r="H935" s="11">
        <v>414</v>
      </c>
      <c r="I935" s="11">
        <v>2484</v>
      </c>
      <c r="J935" s="11"/>
      <c r="K935" s="11"/>
      <c r="L935" s="11"/>
      <c r="M935" s="11"/>
      <c r="N935" s="11"/>
      <c r="O935" s="11"/>
      <c r="P935" s="11">
        <v>96</v>
      </c>
      <c r="Q935" s="11"/>
      <c r="R935" s="11">
        <v>18</v>
      </c>
      <c r="S935" s="11"/>
      <c r="T935" s="11"/>
      <c r="U935" s="11"/>
      <c r="V935" s="11"/>
      <c r="W935" s="11"/>
      <c r="X935" s="11">
        <v>300</v>
      </c>
      <c r="Y935" s="11"/>
      <c r="Z935" s="11"/>
      <c r="AA935" s="11"/>
      <c r="AB935" s="11"/>
      <c r="AC935" s="11">
        <v>342</v>
      </c>
      <c r="AD935" s="11">
        <v>55</v>
      </c>
      <c r="AE935" s="11"/>
      <c r="AF935" s="11">
        <v>2</v>
      </c>
      <c r="AG935" s="11"/>
      <c r="AH935" s="11"/>
      <c r="AI935" s="11">
        <v>15</v>
      </c>
      <c r="AJ935" s="11"/>
      <c r="AK935" s="11"/>
      <c r="AL935" s="11"/>
      <c r="AM935" s="11"/>
      <c r="AN935" s="11">
        <v>33</v>
      </c>
      <c r="AO935" s="11">
        <v>48</v>
      </c>
      <c r="AP935" s="11">
        <v>21</v>
      </c>
      <c r="AQ935" s="11">
        <v>194</v>
      </c>
      <c r="AR935" s="11">
        <v>61</v>
      </c>
      <c r="AS935" s="11">
        <v>57</v>
      </c>
      <c r="AT935" s="11"/>
      <c r="AU935" s="20" t="str">
        <f>HYPERLINK("http://www.openstreetmap.org/?mlat=35.5605&amp;mlon=43.2751&amp;zoom=12#map=12/35.5605/43.2751","Maplink1")</f>
        <v>Maplink1</v>
      </c>
      <c r="AV935" s="20" t="str">
        <f>HYPERLINK("https://www.google.iq/maps/search/+35.5605,43.2751/@35.5605,43.2751,14z?hl=en","Maplink2")</f>
        <v>Maplink2</v>
      </c>
      <c r="AW935" s="20" t="str">
        <f>HYPERLINK("http://www.bing.com/maps/?lvl=14&amp;sty=h&amp;cp=35.5605~43.2751&amp;sp=point.35.5605_43.2751","Maplink3")</f>
        <v>Maplink3</v>
      </c>
    </row>
    <row r="936" spans="1:49" s="19" customFormat="1" x14ac:dyDescent="0.25">
      <c r="A936" s="9">
        <v>21347</v>
      </c>
      <c r="B936" s="10" t="s">
        <v>22</v>
      </c>
      <c r="C936" s="10" t="s">
        <v>1399</v>
      </c>
      <c r="D936" s="10" t="s">
        <v>1416</v>
      </c>
      <c r="E936" s="10" t="s">
        <v>1417</v>
      </c>
      <c r="F936" s="10">
        <v>35.4067073322</v>
      </c>
      <c r="G936" s="10">
        <v>43.213327680799999</v>
      </c>
      <c r="H936" s="11">
        <v>116</v>
      </c>
      <c r="I936" s="11">
        <v>696</v>
      </c>
      <c r="J936" s="11"/>
      <c r="K936" s="11"/>
      <c r="L936" s="11"/>
      <c r="M936" s="11"/>
      <c r="N936" s="11"/>
      <c r="O936" s="11"/>
      <c r="P936" s="11">
        <v>23</v>
      </c>
      <c r="Q936" s="11"/>
      <c r="R936" s="11">
        <v>14</v>
      </c>
      <c r="S936" s="11"/>
      <c r="T936" s="11"/>
      <c r="U936" s="11"/>
      <c r="V936" s="11"/>
      <c r="W936" s="11"/>
      <c r="X936" s="11">
        <v>79</v>
      </c>
      <c r="Y936" s="11"/>
      <c r="Z936" s="11"/>
      <c r="AA936" s="11"/>
      <c r="AB936" s="11"/>
      <c r="AC936" s="11">
        <v>116</v>
      </c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>
        <v>114</v>
      </c>
      <c r="AO936" s="11">
        <v>2</v>
      </c>
      <c r="AP936" s="11"/>
      <c r="AQ936" s="11"/>
      <c r="AR936" s="11"/>
      <c r="AS936" s="11"/>
      <c r="AT936" s="11"/>
      <c r="AU936" s="20" t="str">
        <f>HYPERLINK("http://www.openstreetmap.org/?mlat=35.4067&amp;mlon=43.2133&amp;zoom=12#map=12/35.4067/43.2133","Maplink1")</f>
        <v>Maplink1</v>
      </c>
      <c r="AV936" s="20" t="str">
        <f>HYPERLINK("https://www.google.iq/maps/search/+35.4067,43.2133/@35.4067,43.2133,14z?hl=en","Maplink2")</f>
        <v>Maplink2</v>
      </c>
      <c r="AW936" s="20" t="str">
        <f>HYPERLINK("http://www.bing.com/maps/?lvl=14&amp;sty=h&amp;cp=35.4067~43.2133&amp;sp=point.35.4067_43.2133","Maplink3")</f>
        <v>Maplink3</v>
      </c>
    </row>
    <row r="937" spans="1:49" s="19" customFormat="1" x14ac:dyDescent="0.25">
      <c r="A937" s="9">
        <v>33129</v>
      </c>
      <c r="B937" s="10" t="s">
        <v>22</v>
      </c>
      <c r="C937" s="10" t="s">
        <v>1399</v>
      </c>
      <c r="D937" s="10" t="s">
        <v>1662</v>
      </c>
      <c r="E937" s="10" t="s">
        <v>2019</v>
      </c>
      <c r="F937" s="10">
        <v>35.501528999999998</v>
      </c>
      <c r="G937" s="10">
        <v>43.273774000000003</v>
      </c>
      <c r="H937" s="11">
        <v>162</v>
      </c>
      <c r="I937" s="11">
        <v>972</v>
      </c>
      <c r="J937" s="11"/>
      <c r="K937" s="11"/>
      <c r="L937" s="11"/>
      <c r="M937" s="11"/>
      <c r="N937" s="11"/>
      <c r="O937" s="11"/>
      <c r="P937" s="11"/>
      <c r="Q937" s="11"/>
      <c r="R937" s="11">
        <v>23</v>
      </c>
      <c r="S937" s="11"/>
      <c r="T937" s="11"/>
      <c r="U937" s="11"/>
      <c r="V937" s="11"/>
      <c r="W937" s="11"/>
      <c r="X937" s="11">
        <v>139</v>
      </c>
      <c r="Y937" s="11"/>
      <c r="Z937" s="11"/>
      <c r="AA937" s="11"/>
      <c r="AB937" s="11"/>
      <c r="AC937" s="11">
        <v>130</v>
      </c>
      <c r="AD937" s="11">
        <v>32</v>
      </c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>
        <v>40</v>
      </c>
      <c r="AR937" s="11">
        <v>90</v>
      </c>
      <c r="AS937" s="11">
        <v>32</v>
      </c>
      <c r="AT937" s="11"/>
      <c r="AU937" s="20" t="str">
        <f>HYPERLINK("http://www.openstreetmap.org/?mlat=35.5015&amp;mlon=43.2738&amp;zoom=12#map=12/35.5015/43.2738","Maplink1")</f>
        <v>Maplink1</v>
      </c>
      <c r="AV937" s="20" t="str">
        <f>HYPERLINK("https://www.google.iq/maps/search/+35.5015,43.2738/@35.5015,43.2738,14z?hl=en","Maplink2")</f>
        <v>Maplink2</v>
      </c>
      <c r="AW937" s="20" t="str">
        <f>HYPERLINK("http://www.bing.com/maps/?lvl=14&amp;sty=h&amp;cp=35.5015~43.2738&amp;sp=point.35.5015_43.2738","Maplink3")</f>
        <v>Maplink3</v>
      </c>
    </row>
    <row r="938" spans="1:49" s="19" customFormat="1" x14ac:dyDescent="0.25">
      <c r="A938" s="9">
        <v>29651</v>
      </c>
      <c r="B938" s="10" t="s">
        <v>22</v>
      </c>
      <c r="C938" s="10" t="s">
        <v>1399</v>
      </c>
      <c r="D938" s="10" t="s">
        <v>1418</v>
      </c>
      <c r="E938" s="10" t="s">
        <v>512</v>
      </c>
      <c r="F938" s="10">
        <v>35.4614628908</v>
      </c>
      <c r="G938" s="10">
        <v>43.2520072306</v>
      </c>
      <c r="H938" s="11">
        <v>76</v>
      </c>
      <c r="I938" s="11">
        <v>456</v>
      </c>
      <c r="J938" s="11"/>
      <c r="K938" s="11"/>
      <c r="L938" s="11"/>
      <c r="M938" s="11"/>
      <c r="N938" s="11"/>
      <c r="O938" s="11"/>
      <c r="P938" s="11">
        <v>25</v>
      </c>
      <c r="Q938" s="11"/>
      <c r="R938" s="11">
        <v>7</v>
      </c>
      <c r="S938" s="11"/>
      <c r="T938" s="11"/>
      <c r="U938" s="11"/>
      <c r="V938" s="11"/>
      <c r="W938" s="11"/>
      <c r="X938" s="11">
        <v>44</v>
      </c>
      <c r="Y938" s="11"/>
      <c r="Z938" s="11"/>
      <c r="AA938" s="11"/>
      <c r="AB938" s="11"/>
      <c r="AC938" s="11">
        <v>76</v>
      </c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>
        <v>36</v>
      </c>
      <c r="AO938" s="11">
        <v>40</v>
      </c>
      <c r="AP938" s="11"/>
      <c r="AQ938" s="11"/>
      <c r="AR938" s="11"/>
      <c r="AS938" s="11"/>
      <c r="AT938" s="11"/>
      <c r="AU938" s="20" t="str">
        <f>HYPERLINK("http://www.openstreetmap.org/?mlat=35.4615&amp;mlon=43.252&amp;zoom=12#map=12/35.4615/43.252","Maplink1")</f>
        <v>Maplink1</v>
      </c>
      <c r="AV938" s="20" t="str">
        <f>HYPERLINK("https://www.google.iq/maps/search/+35.4615,43.252/@35.4615,43.252,14z?hl=en","Maplink2")</f>
        <v>Maplink2</v>
      </c>
      <c r="AW938" s="20" t="str">
        <f>HYPERLINK("http://www.bing.com/maps/?lvl=14&amp;sty=h&amp;cp=35.4615~43.252&amp;sp=point.35.4615_43.252","Maplink3")</f>
        <v>Maplink3</v>
      </c>
    </row>
    <row r="939" spans="1:49" s="19" customFormat="1" x14ac:dyDescent="0.25">
      <c r="A939" s="9">
        <v>29653</v>
      </c>
      <c r="B939" s="10" t="s">
        <v>22</v>
      </c>
      <c r="C939" s="10" t="s">
        <v>1399</v>
      </c>
      <c r="D939" s="10" t="s">
        <v>1419</v>
      </c>
      <c r="E939" s="10" t="s">
        <v>215</v>
      </c>
      <c r="F939" s="10">
        <v>35.537074256799997</v>
      </c>
      <c r="G939" s="10">
        <v>43.228705089199998</v>
      </c>
      <c r="H939" s="11">
        <v>375</v>
      </c>
      <c r="I939" s="11">
        <v>2250</v>
      </c>
      <c r="J939" s="11"/>
      <c r="K939" s="11"/>
      <c r="L939" s="11"/>
      <c r="M939" s="11"/>
      <c r="N939" s="11"/>
      <c r="O939" s="11"/>
      <c r="P939" s="11">
        <v>32</v>
      </c>
      <c r="Q939" s="11"/>
      <c r="R939" s="11">
        <v>106</v>
      </c>
      <c r="S939" s="11"/>
      <c r="T939" s="11"/>
      <c r="U939" s="11"/>
      <c r="V939" s="11"/>
      <c r="W939" s="11"/>
      <c r="X939" s="11">
        <v>231</v>
      </c>
      <c r="Y939" s="11">
        <v>6</v>
      </c>
      <c r="Z939" s="11"/>
      <c r="AA939" s="11"/>
      <c r="AB939" s="11"/>
      <c r="AC939" s="11">
        <v>246</v>
      </c>
      <c r="AD939" s="11">
        <v>23</v>
      </c>
      <c r="AE939" s="11"/>
      <c r="AF939" s="11"/>
      <c r="AG939" s="11">
        <v>19</v>
      </c>
      <c r="AH939" s="11"/>
      <c r="AI939" s="11">
        <v>87</v>
      </c>
      <c r="AJ939" s="11"/>
      <c r="AK939" s="11"/>
      <c r="AL939" s="11"/>
      <c r="AM939" s="11"/>
      <c r="AN939" s="11">
        <v>159</v>
      </c>
      <c r="AO939" s="11">
        <v>78</v>
      </c>
      <c r="AP939" s="11">
        <v>39</v>
      </c>
      <c r="AQ939" s="11">
        <v>39</v>
      </c>
      <c r="AR939" s="11">
        <v>18</v>
      </c>
      <c r="AS939" s="11">
        <v>42</v>
      </c>
      <c r="AT939" s="11"/>
      <c r="AU939" s="20" t="str">
        <f>HYPERLINK("http://www.openstreetmap.org/?mlat=35.5371&amp;mlon=43.2287&amp;zoom=12#map=12/35.5371/43.2287","Maplink1")</f>
        <v>Maplink1</v>
      </c>
      <c r="AV939" s="20" t="str">
        <f>HYPERLINK("https://www.google.iq/maps/search/+35.5371,43.2287/@35.5371,43.2287,14z?hl=en","Maplink2")</f>
        <v>Maplink2</v>
      </c>
      <c r="AW939" s="20" t="str">
        <f>HYPERLINK("http://www.bing.com/maps/?lvl=14&amp;sty=h&amp;cp=35.5371~43.2287&amp;sp=point.35.5371_43.2287","Maplink3")</f>
        <v>Maplink3</v>
      </c>
    </row>
    <row r="940" spans="1:49" s="19" customFormat="1" x14ac:dyDescent="0.25">
      <c r="A940" s="9">
        <v>33124</v>
      </c>
      <c r="B940" s="10" t="s">
        <v>22</v>
      </c>
      <c r="C940" s="10" t="s">
        <v>1399</v>
      </c>
      <c r="D940" s="10" t="s">
        <v>1663</v>
      </c>
      <c r="E940" s="10" t="s">
        <v>1664</v>
      </c>
      <c r="F940" s="10">
        <v>35.330249999999999</v>
      </c>
      <c r="G940" s="10">
        <v>43.161439999999999</v>
      </c>
      <c r="H940" s="11">
        <v>635</v>
      </c>
      <c r="I940" s="11">
        <v>3810</v>
      </c>
      <c r="J940" s="11"/>
      <c r="K940" s="11"/>
      <c r="L940" s="11"/>
      <c r="M940" s="11"/>
      <c r="N940" s="11"/>
      <c r="O940" s="11"/>
      <c r="P940" s="11">
        <v>73</v>
      </c>
      <c r="Q940" s="11"/>
      <c r="R940" s="11">
        <v>29</v>
      </c>
      <c r="S940" s="11"/>
      <c r="T940" s="11"/>
      <c r="U940" s="11"/>
      <c r="V940" s="11"/>
      <c r="W940" s="11"/>
      <c r="X940" s="11">
        <v>533</v>
      </c>
      <c r="Y940" s="11"/>
      <c r="Z940" s="11"/>
      <c r="AA940" s="11"/>
      <c r="AB940" s="11"/>
      <c r="AC940" s="11">
        <v>530</v>
      </c>
      <c r="AD940" s="11"/>
      <c r="AE940" s="11"/>
      <c r="AF940" s="11">
        <v>48</v>
      </c>
      <c r="AG940" s="11">
        <v>31</v>
      </c>
      <c r="AH940" s="11"/>
      <c r="AI940" s="11">
        <v>26</v>
      </c>
      <c r="AJ940" s="11"/>
      <c r="AK940" s="11"/>
      <c r="AL940" s="11"/>
      <c r="AM940" s="11"/>
      <c r="AN940" s="11">
        <v>279</v>
      </c>
      <c r="AO940" s="11">
        <v>152</v>
      </c>
      <c r="AP940" s="11">
        <v>35</v>
      </c>
      <c r="AQ940" s="11">
        <v>22</v>
      </c>
      <c r="AR940" s="11">
        <v>82</v>
      </c>
      <c r="AS940" s="11">
        <v>65</v>
      </c>
      <c r="AT940" s="11"/>
      <c r="AU940" s="20" t="str">
        <f>HYPERLINK("http://www.openstreetmap.org/?mlat=35.3302&amp;mlon=43.1614&amp;zoom=12#map=12/35.3302/43.1614","Maplink1")</f>
        <v>Maplink1</v>
      </c>
      <c r="AV940" s="20" t="str">
        <f>HYPERLINK("https://www.google.iq/maps/search/+35.3302,43.1614/@35.3302,43.1614,14z?hl=en","Maplink2")</f>
        <v>Maplink2</v>
      </c>
      <c r="AW940" s="20" t="str">
        <f>HYPERLINK("http://www.bing.com/maps/?lvl=14&amp;sty=h&amp;cp=35.3302~43.1614&amp;sp=point.35.3302_43.1614","Maplink3")</f>
        <v>Maplink3</v>
      </c>
    </row>
    <row r="941" spans="1:49" s="19" customFormat="1" x14ac:dyDescent="0.25">
      <c r="A941" s="9">
        <v>20517</v>
      </c>
      <c r="B941" s="10" t="s">
        <v>22</v>
      </c>
      <c r="C941" s="10" t="s">
        <v>1399</v>
      </c>
      <c r="D941" s="10" t="s">
        <v>1665</v>
      </c>
      <c r="E941" s="10" t="s">
        <v>1666</v>
      </c>
      <c r="F941" s="10">
        <v>35.257086999999999</v>
      </c>
      <c r="G941" s="10">
        <v>43.226284</v>
      </c>
      <c r="H941" s="11">
        <v>496</v>
      </c>
      <c r="I941" s="11">
        <v>2976</v>
      </c>
      <c r="J941" s="11"/>
      <c r="K941" s="11"/>
      <c r="L941" s="11"/>
      <c r="M941" s="11"/>
      <c r="N941" s="11"/>
      <c r="O941" s="11"/>
      <c r="P941" s="11"/>
      <c r="Q941" s="11"/>
      <c r="R941" s="11">
        <v>54</v>
      </c>
      <c r="S941" s="11"/>
      <c r="T941" s="11"/>
      <c r="U941" s="11"/>
      <c r="V941" s="11"/>
      <c r="W941" s="11"/>
      <c r="X941" s="11">
        <v>442</v>
      </c>
      <c r="Y941" s="11"/>
      <c r="Z941" s="11"/>
      <c r="AA941" s="11"/>
      <c r="AB941" s="11"/>
      <c r="AC941" s="11">
        <v>432</v>
      </c>
      <c r="AD941" s="11">
        <v>26</v>
      </c>
      <c r="AE941" s="11"/>
      <c r="AF941" s="11"/>
      <c r="AG941" s="11"/>
      <c r="AH941" s="11"/>
      <c r="AI941" s="11">
        <v>38</v>
      </c>
      <c r="AJ941" s="11"/>
      <c r="AK941" s="11"/>
      <c r="AL941" s="11"/>
      <c r="AM941" s="11"/>
      <c r="AN941" s="11">
        <v>160</v>
      </c>
      <c r="AO941" s="11">
        <v>53</v>
      </c>
      <c r="AP941" s="11">
        <v>43</v>
      </c>
      <c r="AQ941" s="11">
        <v>54</v>
      </c>
      <c r="AR941" s="11">
        <v>121</v>
      </c>
      <c r="AS941" s="11">
        <v>65</v>
      </c>
      <c r="AT941" s="11"/>
      <c r="AU941" s="20" t="str">
        <f>HYPERLINK("http://www.openstreetmap.org/?mlat=35.2571&amp;mlon=43.2263&amp;zoom=12#map=12/35.2571/43.2263","Maplink1")</f>
        <v>Maplink1</v>
      </c>
      <c r="AV941" s="20" t="str">
        <f>HYPERLINK("https://www.google.iq/maps/search/+35.2571,43.2263/@35.2571,43.2263,14z?hl=en","Maplink2")</f>
        <v>Maplink2</v>
      </c>
      <c r="AW941" s="20" t="str">
        <f>HYPERLINK("http://www.bing.com/maps/?lvl=14&amp;sty=h&amp;cp=35.2571~43.2263&amp;sp=point.35.2571_43.2263","Maplink3")</f>
        <v>Maplink3</v>
      </c>
    </row>
    <row r="942" spans="1:49" s="19" customFormat="1" x14ac:dyDescent="0.25">
      <c r="A942" s="9">
        <v>33126</v>
      </c>
      <c r="B942" s="10" t="s">
        <v>22</v>
      </c>
      <c r="C942" s="10" t="s">
        <v>1399</v>
      </c>
      <c r="D942" s="10" t="s">
        <v>1667</v>
      </c>
      <c r="E942" s="10" t="s">
        <v>1668</v>
      </c>
      <c r="F942" s="10">
        <v>35.560374000000003</v>
      </c>
      <c r="G942" s="10">
        <v>43.274911000000003</v>
      </c>
      <c r="H942" s="11">
        <v>418</v>
      </c>
      <c r="I942" s="11">
        <v>2508</v>
      </c>
      <c r="J942" s="11"/>
      <c r="K942" s="11"/>
      <c r="L942" s="11"/>
      <c r="M942" s="11"/>
      <c r="N942" s="11"/>
      <c r="O942" s="11"/>
      <c r="P942" s="11">
        <v>53</v>
      </c>
      <c r="Q942" s="11"/>
      <c r="R942" s="11">
        <v>29</v>
      </c>
      <c r="S942" s="11"/>
      <c r="T942" s="11"/>
      <c r="U942" s="11"/>
      <c r="V942" s="11"/>
      <c r="W942" s="11"/>
      <c r="X942" s="11">
        <v>336</v>
      </c>
      <c r="Y942" s="11"/>
      <c r="Z942" s="11"/>
      <c r="AA942" s="11"/>
      <c r="AB942" s="11"/>
      <c r="AC942" s="11">
        <v>324</v>
      </c>
      <c r="AD942" s="11">
        <v>36</v>
      </c>
      <c r="AE942" s="11"/>
      <c r="AF942" s="11">
        <v>21</v>
      </c>
      <c r="AG942" s="11">
        <v>18</v>
      </c>
      <c r="AH942" s="11"/>
      <c r="AI942" s="11">
        <v>19</v>
      </c>
      <c r="AJ942" s="11"/>
      <c r="AK942" s="11"/>
      <c r="AL942" s="11"/>
      <c r="AM942" s="11"/>
      <c r="AN942" s="11">
        <v>56</v>
      </c>
      <c r="AO942" s="11">
        <v>82</v>
      </c>
      <c r="AP942" s="11">
        <v>43</v>
      </c>
      <c r="AQ942" s="11">
        <v>103</v>
      </c>
      <c r="AR942" s="11">
        <v>71</v>
      </c>
      <c r="AS942" s="11">
        <v>63</v>
      </c>
      <c r="AT942" s="11"/>
      <c r="AU942" s="20" t="str">
        <f>HYPERLINK("http://www.openstreetmap.org/?mlat=35.5604&amp;mlon=43.2749&amp;zoom=12#map=12/35.5604/43.2749","Maplink1")</f>
        <v>Maplink1</v>
      </c>
      <c r="AV942" s="20" t="str">
        <f>HYPERLINK("https://www.google.iq/maps/search/+35.5604,43.2749/@35.5604,43.2749,14z?hl=en","Maplink2")</f>
        <v>Maplink2</v>
      </c>
      <c r="AW942" s="20" t="str">
        <f>HYPERLINK("http://www.bing.com/maps/?lvl=14&amp;sty=h&amp;cp=35.5604~43.2749&amp;sp=point.35.5604_43.2749","Maplink3")</f>
        <v>Maplink3</v>
      </c>
    </row>
    <row r="943" spans="1:49" s="19" customFormat="1" x14ac:dyDescent="0.25">
      <c r="A943" s="9">
        <v>21349</v>
      </c>
      <c r="B943" s="10" t="s">
        <v>22</v>
      </c>
      <c r="C943" s="10" t="s">
        <v>1399</v>
      </c>
      <c r="D943" s="10" t="s">
        <v>1420</v>
      </c>
      <c r="E943" s="10" t="s">
        <v>1421</v>
      </c>
      <c r="F943" s="10">
        <v>35.622395907700003</v>
      </c>
      <c r="G943" s="10">
        <v>43.240689809000003</v>
      </c>
      <c r="H943" s="11">
        <v>264</v>
      </c>
      <c r="I943" s="11">
        <v>1584</v>
      </c>
      <c r="J943" s="11"/>
      <c r="K943" s="11"/>
      <c r="L943" s="11"/>
      <c r="M943" s="11"/>
      <c r="N943" s="11"/>
      <c r="O943" s="11"/>
      <c r="P943" s="11">
        <v>35</v>
      </c>
      <c r="Q943" s="11"/>
      <c r="R943" s="11">
        <v>51</v>
      </c>
      <c r="S943" s="11"/>
      <c r="T943" s="11"/>
      <c r="U943" s="11"/>
      <c r="V943" s="11"/>
      <c r="W943" s="11"/>
      <c r="X943" s="11">
        <v>178</v>
      </c>
      <c r="Y943" s="11"/>
      <c r="Z943" s="11"/>
      <c r="AA943" s="11"/>
      <c r="AB943" s="11"/>
      <c r="AC943" s="11">
        <v>247</v>
      </c>
      <c r="AD943" s="11"/>
      <c r="AE943" s="11"/>
      <c r="AF943" s="11"/>
      <c r="AG943" s="11"/>
      <c r="AH943" s="11"/>
      <c r="AI943" s="11">
        <v>17</v>
      </c>
      <c r="AJ943" s="11"/>
      <c r="AK943" s="11"/>
      <c r="AL943" s="11"/>
      <c r="AM943" s="11"/>
      <c r="AN943" s="11">
        <v>253</v>
      </c>
      <c r="AO943" s="11">
        <v>11</v>
      </c>
      <c r="AP943" s="11"/>
      <c r="AQ943" s="11"/>
      <c r="AR943" s="11"/>
      <c r="AS943" s="11"/>
      <c r="AT943" s="11"/>
      <c r="AU943" s="20" t="str">
        <f>HYPERLINK("http://www.openstreetmap.org/?mlat=35.6224&amp;mlon=43.2407&amp;zoom=12#map=12/35.6224/43.2407","Maplink1")</f>
        <v>Maplink1</v>
      </c>
      <c r="AV943" s="20" t="str">
        <f>HYPERLINK("https://www.google.iq/maps/search/+35.6224,43.2407/@35.6224,43.2407,14z?hl=en","Maplink2")</f>
        <v>Maplink2</v>
      </c>
      <c r="AW943" s="20" t="str">
        <f>HYPERLINK("http://www.bing.com/maps/?lvl=14&amp;sty=h&amp;cp=35.6224~43.2407&amp;sp=point.35.6224_43.2407","Maplink3")</f>
        <v>Maplink3</v>
      </c>
    </row>
    <row r="944" spans="1:49" s="19" customFormat="1" x14ac:dyDescent="0.25">
      <c r="A944" s="9">
        <v>33127</v>
      </c>
      <c r="B944" s="10" t="s">
        <v>22</v>
      </c>
      <c r="C944" s="10" t="s">
        <v>1399</v>
      </c>
      <c r="D944" s="10" t="s">
        <v>1669</v>
      </c>
      <c r="E944" s="10" t="s">
        <v>1670</v>
      </c>
      <c r="F944" s="10">
        <v>35.574931999999997</v>
      </c>
      <c r="G944" s="10">
        <v>43.268388999999999</v>
      </c>
      <c r="H944" s="11">
        <v>157</v>
      </c>
      <c r="I944" s="11">
        <v>942</v>
      </c>
      <c r="J944" s="11"/>
      <c r="K944" s="11"/>
      <c r="L944" s="11"/>
      <c r="M944" s="11"/>
      <c r="N944" s="11"/>
      <c r="O944" s="11"/>
      <c r="P944" s="11"/>
      <c r="Q944" s="11"/>
      <c r="R944" s="11">
        <v>17</v>
      </c>
      <c r="S944" s="11"/>
      <c r="T944" s="11"/>
      <c r="U944" s="11"/>
      <c r="V944" s="11"/>
      <c r="W944" s="11"/>
      <c r="X944" s="11">
        <v>140</v>
      </c>
      <c r="Y944" s="11"/>
      <c r="Z944" s="11"/>
      <c r="AA944" s="11"/>
      <c r="AB944" s="11"/>
      <c r="AC944" s="11">
        <v>118</v>
      </c>
      <c r="AD944" s="11">
        <v>10</v>
      </c>
      <c r="AE944" s="11"/>
      <c r="AF944" s="11">
        <v>11</v>
      </c>
      <c r="AG944" s="11"/>
      <c r="AH944" s="11"/>
      <c r="AI944" s="11">
        <v>18</v>
      </c>
      <c r="AJ944" s="11"/>
      <c r="AK944" s="11"/>
      <c r="AL944" s="11"/>
      <c r="AM944" s="11"/>
      <c r="AN944" s="11">
        <v>19</v>
      </c>
      <c r="AO944" s="11">
        <v>36</v>
      </c>
      <c r="AP944" s="11">
        <v>13</v>
      </c>
      <c r="AQ944" s="11">
        <v>33</v>
      </c>
      <c r="AR944" s="11">
        <v>45</v>
      </c>
      <c r="AS944" s="11">
        <v>11</v>
      </c>
      <c r="AT944" s="11"/>
      <c r="AU944" s="20" t="str">
        <f>HYPERLINK("http://www.openstreetmap.org/?mlat=35.5749&amp;mlon=43.2684&amp;zoom=12#map=12/35.5749/43.2684","Maplink1")</f>
        <v>Maplink1</v>
      </c>
      <c r="AV944" s="20" t="str">
        <f>HYPERLINK("https://www.google.iq/maps/search/+35.5749,43.2684/@35.5749,43.2684,14z?hl=en","Maplink2")</f>
        <v>Maplink2</v>
      </c>
      <c r="AW944" s="20" t="str">
        <f>HYPERLINK("http://www.bing.com/maps/?lvl=14&amp;sty=h&amp;cp=35.5749~43.2684&amp;sp=point.35.5749_43.2684","Maplink3")</f>
        <v>Maplink3</v>
      </c>
    </row>
    <row r="945" spans="1:49" s="19" customFormat="1" x14ac:dyDescent="0.25">
      <c r="A945" s="9">
        <v>22305</v>
      </c>
      <c r="B945" s="10" t="s">
        <v>22</v>
      </c>
      <c r="C945" s="10" t="s">
        <v>1399</v>
      </c>
      <c r="D945" s="10" t="s">
        <v>2020</v>
      </c>
      <c r="E945" s="10" t="s">
        <v>2021</v>
      </c>
      <c r="F945" s="10">
        <v>35.333531999999998</v>
      </c>
      <c r="G945" s="10">
        <v>43.184812000000001</v>
      </c>
      <c r="H945" s="11">
        <v>76</v>
      </c>
      <c r="I945" s="11">
        <v>456</v>
      </c>
      <c r="J945" s="11"/>
      <c r="K945" s="11"/>
      <c r="L945" s="11"/>
      <c r="M945" s="11"/>
      <c r="N945" s="11"/>
      <c r="O945" s="11"/>
      <c r="P945" s="11">
        <v>11</v>
      </c>
      <c r="Q945" s="11"/>
      <c r="R945" s="11"/>
      <c r="S945" s="11"/>
      <c r="T945" s="11"/>
      <c r="U945" s="11"/>
      <c r="V945" s="11"/>
      <c r="W945" s="11"/>
      <c r="X945" s="11">
        <v>65</v>
      </c>
      <c r="Y945" s="11"/>
      <c r="Z945" s="11"/>
      <c r="AA945" s="11"/>
      <c r="AB945" s="11"/>
      <c r="AC945" s="11">
        <v>76</v>
      </c>
      <c r="AD945" s="11"/>
      <c r="AE945" s="11"/>
      <c r="AF945" s="11"/>
      <c r="AG945" s="11"/>
      <c r="AH945" s="11"/>
      <c r="AI945" s="11"/>
      <c r="AJ945" s="11"/>
      <c r="AK945" s="11"/>
      <c r="AL945" s="11"/>
      <c r="AM945" s="11">
        <v>5</v>
      </c>
      <c r="AN945" s="11">
        <v>24</v>
      </c>
      <c r="AO945" s="11">
        <v>17</v>
      </c>
      <c r="AP945" s="11">
        <v>13</v>
      </c>
      <c r="AQ945" s="11">
        <v>9</v>
      </c>
      <c r="AR945" s="11">
        <v>2</v>
      </c>
      <c r="AS945" s="11">
        <v>6</v>
      </c>
      <c r="AT945" s="11"/>
      <c r="AU945" s="20" t="str">
        <f>HYPERLINK("http://www.openstreetmap.org/?mlat=35.3335&amp;mlon=43.1848&amp;zoom=12#map=12/35.3335/43.1848","Maplink1")</f>
        <v>Maplink1</v>
      </c>
      <c r="AV945" s="20" t="str">
        <f>HYPERLINK("https://www.google.iq/maps/search/+35.3335,43.1848/@35.3335,43.1848,14z?hl=en","Maplink2")</f>
        <v>Maplink2</v>
      </c>
      <c r="AW945" s="20" t="str">
        <f>HYPERLINK("http://www.bing.com/maps/?lvl=14&amp;sty=h&amp;cp=35.3335~43.1848&amp;sp=point.35.3335_43.1848","Maplink3")</f>
        <v>Maplink3</v>
      </c>
    </row>
    <row r="946" spans="1:49" s="19" customFormat="1" x14ac:dyDescent="0.25">
      <c r="A946" s="9">
        <v>33136</v>
      </c>
      <c r="B946" s="10" t="s">
        <v>22</v>
      </c>
      <c r="C946" s="10" t="s">
        <v>1399</v>
      </c>
      <c r="D946" s="10" t="s">
        <v>1671</v>
      </c>
      <c r="E946" s="10" t="s">
        <v>1672</v>
      </c>
      <c r="F946" s="10">
        <v>35.539661000000002</v>
      </c>
      <c r="G946" s="10">
        <v>43.266058999999998</v>
      </c>
      <c r="H946" s="11">
        <v>987</v>
      </c>
      <c r="I946" s="11">
        <v>5922</v>
      </c>
      <c r="J946" s="11"/>
      <c r="K946" s="11"/>
      <c r="L946" s="11"/>
      <c r="M946" s="11"/>
      <c r="N946" s="11"/>
      <c r="O946" s="11"/>
      <c r="P946" s="11">
        <v>83</v>
      </c>
      <c r="Q946" s="11"/>
      <c r="R946" s="11">
        <v>92</v>
      </c>
      <c r="S946" s="11"/>
      <c r="T946" s="11"/>
      <c r="U946" s="11"/>
      <c r="V946" s="11"/>
      <c r="W946" s="11"/>
      <c r="X946" s="11">
        <v>812</v>
      </c>
      <c r="Y946" s="11"/>
      <c r="Z946" s="11"/>
      <c r="AA946" s="11"/>
      <c r="AB946" s="11"/>
      <c r="AC946" s="11">
        <v>869</v>
      </c>
      <c r="AD946" s="11">
        <v>98</v>
      </c>
      <c r="AE946" s="11"/>
      <c r="AF946" s="11">
        <v>1</v>
      </c>
      <c r="AG946" s="11">
        <v>7</v>
      </c>
      <c r="AH946" s="11"/>
      <c r="AI946" s="11">
        <v>12</v>
      </c>
      <c r="AJ946" s="11"/>
      <c r="AK946" s="11"/>
      <c r="AL946" s="11"/>
      <c r="AM946" s="11"/>
      <c r="AN946" s="11">
        <v>73</v>
      </c>
      <c r="AO946" s="11">
        <v>154</v>
      </c>
      <c r="AP946" s="11">
        <v>238</v>
      </c>
      <c r="AQ946" s="11">
        <v>161</v>
      </c>
      <c r="AR946" s="11">
        <v>201</v>
      </c>
      <c r="AS946" s="11">
        <v>160</v>
      </c>
      <c r="AT946" s="11"/>
      <c r="AU946" s="20" t="str">
        <f>HYPERLINK("http://www.openstreetmap.org/?mlat=35.5397&amp;mlon=43.2661&amp;zoom=12#map=12/35.5397/43.2661","Maplink1")</f>
        <v>Maplink1</v>
      </c>
      <c r="AV946" s="20" t="str">
        <f>HYPERLINK("https://www.google.iq/maps/search/+35.5397,43.2661/@35.5397,43.2661,14z?hl=en","Maplink2")</f>
        <v>Maplink2</v>
      </c>
      <c r="AW946" s="20" t="str">
        <f>HYPERLINK("http://www.bing.com/maps/?lvl=14&amp;sty=h&amp;cp=35.5397~43.2661&amp;sp=point.35.5397_43.2661","Maplink3")</f>
        <v>Maplink3</v>
      </c>
    </row>
    <row r="947" spans="1:49" s="19" customFormat="1" x14ac:dyDescent="0.25">
      <c r="A947" s="9">
        <v>20395</v>
      </c>
      <c r="B947" s="10" t="s">
        <v>22</v>
      </c>
      <c r="C947" s="10" t="s">
        <v>1399</v>
      </c>
      <c r="D947" s="10" t="s">
        <v>2022</v>
      </c>
      <c r="E947" s="10" t="s">
        <v>1422</v>
      </c>
      <c r="F947" s="10">
        <v>35.538307000000003</v>
      </c>
      <c r="G947" s="10">
        <v>43.224873000000002</v>
      </c>
      <c r="H947" s="11">
        <v>417</v>
      </c>
      <c r="I947" s="11">
        <v>2502</v>
      </c>
      <c r="J947" s="11"/>
      <c r="K947" s="11"/>
      <c r="L947" s="11">
        <v>7</v>
      </c>
      <c r="M947" s="11">
        <v>10</v>
      </c>
      <c r="N947" s="11">
        <v>4</v>
      </c>
      <c r="O947" s="11"/>
      <c r="P947" s="11">
        <v>128</v>
      </c>
      <c r="Q947" s="11"/>
      <c r="R947" s="11">
        <v>40</v>
      </c>
      <c r="S947" s="11"/>
      <c r="T947" s="11"/>
      <c r="U947" s="11"/>
      <c r="V947" s="11"/>
      <c r="W947" s="11"/>
      <c r="X947" s="11">
        <v>223</v>
      </c>
      <c r="Y947" s="11">
        <v>5</v>
      </c>
      <c r="Z947" s="11"/>
      <c r="AA947" s="11"/>
      <c r="AB947" s="11"/>
      <c r="AC947" s="11">
        <v>327</v>
      </c>
      <c r="AD947" s="11">
        <v>36</v>
      </c>
      <c r="AE947" s="11"/>
      <c r="AF947" s="11"/>
      <c r="AG947" s="11"/>
      <c r="AH947" s="11"/>
      <c r="AI947" s="11">
        <v>54</v>
      </c>
      <c r="AJ947" s="11"/>
      <c r="AK947" s="11"/>
      <c r="AL947" s="11"/>
      <c r="AM947" s="11"/>
      <c r="AN947" s="11">
        <v>147</v>
      </c>
      <c r="AO947" s="11">
        <v>129</v>
      </c>
      <c r="AP947" s="11">
        <v>15</v>
      </c>
      <c r="AQ947" s="11">
        <v>10</v>
      </c>
      <c r="AR947" s="11">
        <v>68</v>
      </c>
      <c r="AS947" s="11">
        <v>48</v>
      </c>
      <c r="AT947" s="11"/>
      <c r="AU947" s="20" t="str">
        <f>HYPERLINK("http://www.openstreetmap.org/?mlat=35.5383&amp;mlon=43.2249&amp;zoom=12#map=12/35.5383/43.2249","Maplink1")</f>
        <v>Maplink1</v>
      </c>
      <c r="AV947" s="20" t="str">
        <f>HYPERLINK("https://www.google.iq/maps/search/+35.5383,43.2249/@35.5383,43.2249,14z?hl=en","Maplink2")</f>
        <v>Maplink2</v>
      </c>
      <c r="AW947" s="20" t="str">
        <f>HYPERLINK("http://www.bing.com/maps/?lvl=14&amp;sty=h&amp;cp=35.5383~43.2249&amp;sp=point.35.5383_43.2249","Maplink3")</f>
        <v>Maplink3</v>
      </c>
    </row>
    <row r="948" spans="1:49" s="19" customFormat="1" x14ac:dyDescent="0.25">
      <c r="A948" s="9">
        <v>33133</v>
      </c>
      <c r="B948" s="10" t="s">
        <v>22</v>
      </c>
      <c r="C948" s="10" t="s">
        <v>1399</v>
      </c>
      <c r="D948" s="10" t="s">
        <v>1673</v>
      </c>
      <c r="E948" s="10" t="s">
        <v>2023</v>
      </c>
      <c r="F948" s="10">
        <v>35.459926000000003</v>
      </c>
      <c r="G948" s="10">
        <v>43.286698999999999</v>
      </c>
      <c r="H948" s="11">
        <v>28</v>
      </c>
      <c r="I948" s="11">
        <v>168</v>
      </c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>
        <v>28</v>
      </c>
      <c r="Y948" s="11"/>
      <c r="Z948" s="11"/>
      <c r="AA948" s="11"/>
      <c r="AB948" s="11"/>
      <c r="AC948" s="11">
        <v>25</v>
      </c>
      <c r="AD948" s="11">
        <v>3</v>
      </c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>
        <v>28</v>
      </c>
      <c r="AT948" s="11"/>
      <c r="AU948" s="20" t="str">
        <f>HYPERLINK("http://www.openstreetmap.org/?mlat=35.4599&amp;mlon=43.2867&amp;zoom=12#map=12/35.4599/43.2867","Maplink1")</f>
        <v>Maplink1</v>
      </c>
      <c r="AV948" s="20" t="str">
        <f>HYPERLINK("https://www.google.iq/maps/search/+35.4599,43.2867/@35.4599,43.2867,14z?hl=en","Maplink2")</f>
        <v>Maplink2</v>
      </c>
      <c r="AW948" s="20" t="str">
        <f>HYPERLINK("http://www.bing.com/maps/?lvl=14&amp;sty=h&amp;cp=35.4599~43.2867&amp;sp=point.35.4599_43.2867","Maplink3")</f>
        <v>Maplink3</v>
      </c>
    </row>
    <row r="949" spans="1:49" s="19" customFormat="1" x14ac:dyDescent="0.25">
      <c r="A949" s="9">
        <v>33135</v>
      </c>
      <c r="B949" s="10" t="s">
        <v>22</v>
      </c>
      <c r="C949" s="10" t="s">
        <v>1399</v>
      </c>
      <c r="D949" s="10" t="s">
        <v>1674</v>
      </c>
      <c r="E949" s="10" t="s">
        <v>1675</v>
      </c>
      <c r="F949" s="10">
        <v>35.408262000000001</v>
      </c>
      <c r="G949" s="10">
        <v>43.450111</v>
      </c>
      <c r="H949" s="11">
        <v>6</v>
      </c>
      <c r="I949" s="11">
        <v>36</v>
      </c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>
        <v>6</v>
      </c>
      <c r="Y949" s="11"/>
      <c r="Z949" s="11"/>
      <c r="AA949" s="11"/>
      <c r="AB949" s="11"/>
      <c r="AC949" s="11">
        <v>6</v>
      </c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>
        <v>6</v>
      </c>
      <c r="AU949" s="20" t="str">
        <f>HYPERLINK("http://www.openstreetmap.org/?mlat=35.4083&amp;mlon=43.4501&amp;zoom=12#map=12/35.4083/43.4501","Maplink1")</f>
        <v>Maplink1</v>
      </c>
      <c r="AV949" s="20" t="str">
        <f>HYPERLINK("https://www.google.iq/maps/search/+35.4083,43.4501/@35.4083,43.4501,14z?hl=en","Maplink2")</f>
        <v>Maplink2</v>
      </c>
      <c r="AW949" s="20" t="str">
        <f>HYPERLINK("http://www.bing.com/maps/?lvl=14&amp;sty=h&amp;cp=35.4083~43.4501&amp;sp=point.35.4083_43.4501","Maplink3")</f>
        <v>Maplink3</v>
      </c>
    </row>
    <row r="950" spans="1:49" s="19" customFormat="1" x14ac:dyDescent="0.25">
      <c r="A950" s="9">
        <v>21004</v>
      </c>
      <c r="B950" s="10" t="s">
        <v>22</v>
      </c>
      <c r="C950" s="10" t="s">
        <v>1399</v>
      </c>
      <c r="D950" s="10" t="s">
        <v>167</v>
      </c>
      <c r="E950" s="10" t="s">
        <v>168</v>
      </c>
      <c r="F950" s="10">
        <v>35.513067202599998</v>
      </c>
      <c r="G950" s="10">
        <v>43.239012437200003</v>
      </c>
      <c r="H950" s="11">
        <v>636</v>
      </c>
      <c r="I950" s="11">
        <v>3816</v>
      </c>
      <c r="J950" s="11"/>
      <c r="K950" s="11"/>
      <c r="L950" s="11">
        <v>33</v>
      </c>
      <c r="M950" s="11">
        <v>11</v>
      </c>
      <c r="N950" s="11">
        <v>13</v>
      </c>
      <c r="O950" s="11"/>
      <c r="P950" s="11">
        <v>79</v>
      </c>
      <c r="Q950" s="11"/>
      <c r="R950" s="11">
        <v>136</v>
      </c>
      <c r="S950" s="11"/>
      <c r="T950" s="11"/>
      <c r="U950" s="11"/>
      <c r="V950" s="11"/>
      <c r="W950" s="11"/>
      <c r="X950" s="11">
        <v>356</v>
      </c>
      <c r="Y950" s="11">
        <v>8</v>
      </c>
      <c r="Z950" s="11"/>
      <c r="AA950" s="11"/>
      <c r="AB950" s="11"/>
      <c r="AC950" s="11">
        <v>474</v>
      </c>
      <c r="AD950" s="11"/>
      <c r="AE950" s="11"/>
      <c r="AF950" s="11">
        <v>35</v>
      </c>
      <c r="AG950" s="11"/>
      <c r="AH950" s="11"/>
      <c r="AI950" s="11">
        <v>127</v>
      </c>
      <c r="AJ950" s="11"/>
      <c r="AK950" s="11"/>
      <c r="AL950" s="11"/>
      <c r="AM950" s="11"/>
      <c r="AN950" s="11">
        <v>305</v>
      </c>
      <c r="AO950" s="11">
        <v>251</v>
      </c>
      <c r="AP950" s="11">
        <v>23</v>
      </c>
      <c r="AQ950" s="11">
        <v>47</v>
      </c>
      <c r="AR950" s="11">
        <v>10</v>
      </c>
      <c r="AS950" s="11"/>
      <c r="AT950" s="11"/>
      <c r="AU950" s="20" t="str">
        <f>HYPERLINK("http://www.openstreetmap.org/?mlat=35.5131&amp;mlon=43.239&amp;zoom=12#map=12/35.5131/43.239","Maplink1")</f>
        <v>Maplink1</v>
      </c>
      <c r="AV950" s="20" t="str">
        <f>HYPERLINK("https://www.google.iq/maps/search/+35.5131,43.239/@35.5131,43.239,14z?hl=en","Maplink2")</f>
        <v>Maplink2</v>
      </c>
      <c r="AW950" s="20" t="str">
        <f>HYPERLINK("http://www.bing.com/maps/?lvl=14&amp;sty=h&amp;cp=35.5131~43.239&amp;sp=point.35.5131_43.239","Maplink3")</f>
        <v>Maplink3</v>
      </c>
    </row>
    <row r="951" spans="1:49" s="19" customFormat="1" x14ac:dyDescent="0.25">
      <c r="A951" s="9">
        <v>21005</v>
      </c>
      <c r="B951" s="10" t="s">
        <v>22</v>
      </c>
      <c r="C951" s="10" t="s">
        <v>1399</v>
      </c>
      <c r="D951" s="10" t="s">
        <v>2024</v>
      </c>
      <c r="E951" s="10" t="s">
        <v>1402</v>
      </c>
      <c r="F951" s="10">
        <v>35.498500176599997</v>
      </c>
      <c r="G951" s="10">
        <v>43.237075432600001</v>
      </c>
      <c r="H951" s="11">
        <v>921</v>
      </c>
      <c r="I951" s="11">
        <v>5526</v>
      </c>
      <c r="J951" s="11"/>
      <c r="K951" s="11"/>
      <c r="L951" s="11">
        <v>15</v>
      </c>
      <c r="M951" s="11"/>
      <c r="N951" s="11"/>
      <c r="O951" s="11"/>
      <c r="P951" s="11">
        <v>100</v>
      </c>
      <c r="Q951" s="11"/>
      <c r="R951" s="11">
        <v>234</v>
      </c>
      <c r="S951" s="11"/>
      <c r="T951" s="11"/>
      <c r="U951" s="11"/>
      <c r="V951" s="11"/>
      <c r="W951" s="11"/>
      <c r="X951" s="11">
        <v>553</v>
      </c>
      <c r="Y951" s="11">
        <v>19</v>
      </c>
      <c r="Z951" s="11"/>
      <c r="AA951" s="11"/>
      <c r="AB951" s="11"/>
      <c r="AC951" s="11">
        <v>682</v>
      </c>
      <c r="AD951" s="11"/>
      <c r="AE951" s="11"/>
      <c r="AF951" s="11">
        <v>65</v>
      </c>
      <c r="AG951" s="11"/>
      <c r="AH951" s="11"/>
      <c r="AI951" s="11">
        <v>174</v>
      </c>
      <c r="AJ951" s="11"/>
      <c r="AK951" s="11"/>
      <c r="AL951" s="11"/>
      <c r="AM951" s="11"/>
      <c r="AN951" s="11">
        <v>415</v>
      </c>
      <c r="AO951" s="11">
        <v>307</v>
      </c>
      <c r="AP951" s="11">
        <v>190</v>
      </c>
      <c r="AQ951" s="11">
        <v>6</v>
      </c>
      <c r="AR951" s="11">
        <v>3</v>
      </c>
      <c r="AS951" s="11"/>
      <c r="AT951" s="11"/>
      <c r="AU951" s="20" t="str">
        <f>HYPERLINK("http://www.openstreetmap.org/?mlat=35.4985&amp;mlon=43.2371&amp;zoom=12#map=12/35.4985/43.2371","Maplink1")</f>
        <v>Maplink1</v>
      </c>
      <c r="AV951" s="20" t="str">
        <f>HYPERLINK("https://www.google.iq/maps/search/+35.4985,43.2371/@35.4985,43.2371,14z?hl=en","Maplink2")</f>
        <v>Maplink2</v>
      </c>
      <c r="AW951" s="20" t="str">
        <f>HYPERLINK("http://www.bing.com/maps/?lvl=14&amp;sty=h&amp;cp=35.4985~43.2371&amp;sp=point.35.4985_43.2371","Maplink3")</f>
        <v>Maplink3</v>
      </c>
    </row>
    <row r="952" spans="1:49" s="19" customFormat="1" x14ac:dyDescent="0.25">
      <c r="A952" s="9">
        <v>24210</v>
      </c>
      <c r="B952" s="10" t="s">
        <v>22</v>
      </c>
      <c r="C952" s="10" t="s">
        <v>1399</v>
      </c>
      <c r="D952" s="10" t="s">
        <v>1423</v>
      </c>
      <c r="E952" s="10" t="s">
        <v>1424</v>
      </c>
      <c r="F952" s="10">
        <v>35.520427161400001</v>
      </c>
      <c r="G952" s="10">
        <v>43.236999600600001</v>
      </c>
      <c r="H952" s="11">
        <v>505</v>
      </c>
      <c r="I952" s="11">
        <v>3030</v>
      </c>
      <c r="J952" s="11"/>
      <c r="K952" s="11"/>
      <c r="L952" s="11">
        <v>20</v>
      </c>
      <c r="M952" s="11"/>
      <c r="N952" s="11"/>
      <c r="O952" s="11"/>
      <c r="P952" s="11">
        <v>215</v>
      </c>
      <c r="Q952" s="11"/>
      <c r="R952" s="11">
        <v>83</v>
      </c>
      <c r="S952" s="11"/>
      <c r="T952" s="11"/>
      <c r="U952" s="11"/>
      <c r="V952" s="11"/>
      <c r="W952" s="11"/>
      <c r="X952" s="11">
        <v>181</v>
      </c>
      <c r="Y952" s="11">
        <v>6</v>
      </c>
      <c r="Z952" s="11"/>
      <c r="AA952" s="11"/>
      <c r="AB952" s="11"/>
      <c r="AC952" s="11">
        <v>211</v>
      </c>
      <c r="AD952" s="11">
        <v>45</v>
      </c>
      <c r="AE952" s="11"/>
      <c r="AF952" s="11">
        <v>22</v>
      </c>
      <c r="AG952" s="11"/>
      <c r="AH952" s="11"/>
      <c r="AI952" s="11">
        <v>217</v>
      </c>
      <c r="AJ952" s="11"/>
      <c r="AK952" s="11">
        <v>10</v>
      </c>
      <c r="AL952" s="11"/>
      <c r="AM952" s="11"/>
      <c r="AN952" s="11">
        <v>122</v>
      </c>
      <c r="AO952" s="11">
        <v>152</v>
      </c>
      <c r="AP952" s="11">
        <v>126</v>
      </c>
      <c r="AQ952" s="11">
        <v>49</v>
      </c>
      <c r="AR952" s="11">
        <v>56</v>
      </c>
      <c r="AS952" s="11"/>
      <c r="AT952" s="11"/>
      <c r="AU952" s="20" t="str">
        <f>HYPERLINK("http://www.openstreetmap.org/?mlat=35.5204&amp;mlon=43.237&amp;zoom=12#map=12/35.5204/43.237","Maplink1")</f>
        <v>Maplink1</v>
      </c>
      <c r="AV952" s="20" t="str">
        <f>HYPERLINK("https://www.google.iq/maps/search/+35.5204,43.237/@35.5204,43.237,14z?hl=en","Maplink2")</f>
        <v>Maplink2</v>
      </c>
      <c r="AW952" s="20" t="str">
        <f>HYPERLINK("http://www.bing.com/maps/?lvl=14&amp;sty=h&amp;cp=35.5204~43.237&amp;sp=point.35.5204_43.237","Maplink3")</f>
        <v>Maplink3</v>
      </c>
    </row>
    <row r="953" spans="1:49" s="19" customFormat="1" x14ac:dyDescent="0.25">
      <c r="A953" s="9">
        <v>29654</v>
      </c>
      <c r="B953" s="10" t="s">
        <v>22</v>
      </c>
      <c r="C953" s="10" t="s">
        <v>1399</v>
      </c>
      <c r="D953" s="10" t="s">
        <v>1425</v>
      </c>
      <c r="E953" s="10" t="s">
        <v>1426</v>
      </c>
      <c r="F953" s="10">
        <v>35.534980940099999</v>
      </c>
      <c r="G953" s="10">
        <v>43.223427897400001</v>
      </c>
      <c r="H953" s="11">
        <v>258</v>
      </c>
      <c r="I953" s="11">
        <v>1548</v>
      </c>
      <c r="J953" s="11"/>
      <c r="K953" s="11"/>
      <c r="L953" s="11"/>
      <c r="M953" s="11"/>
      <c r="N953" s="11"/>
      <c r="O953" s="11"/>
      <c r="P953" s="11">
        <v>44</v>
      </c>
      <c r="Q953" s="11"/>
      <c r="R953" s="11">
        <v>25</v>
      </c>
      <c r="S953" s="11"/>
      <c r="T953" s="11"/>
      <c r="U953" s="11"/>
      <c r="V953" s="11"/>
      <c r="W953" s="11"/>
      <c r="X953" s="11">
        <v>189</v>
      </c>
      <c r="Y953" s="11"/>
      <c r="Z953" s="11"/>
      <c r="AA953" s="11"/>
      <c r="AB953" s="11"/>
      <c r="AC953" s="11">
        <v>240</v>
      </c>
      <c r="AD953" s="11"/>
      <c r="AE953" s="11"/>
      <c r="AF953" s="11"/>
      <c r="AG953" s="11"/>
      <c r="AH953" s="11"/>
      <c r="AI953" s="11">
        <v>18</v>
      </c>
      <c r="AJ953" s="11"/>
      <c r="AK953" s="11"/>
      <c r="AL953" s="11"/>
      <c r="AM953" s="11"/>
      <c r="AN953" s="11">
        <v>153</v>
      </c>
      <c r="AO953" s="11">
        <v>92</v>
      </c>
      <c r="AP953" s="11">
        <v>7</v>
      </c>
      <c r="AQ953" s="11"/>
      <c r="AR953" s="11">
        <v>6</v>
      </c>
      <c r="AS953" s="11"/>
      <c r="AT953" s="11"/>
      <c r="AU953" s="20" t="str">
        <f>HYPERLINK("http://www.openstreetmap.org/?mlat=35.535&amp;mlon=43.2234&amp;zoom=12#map=12/35.535/43.2234","Maplink1")</f>
        <v>Maplink1</v>
      </c>
      <c r="AV953" s="20" t="str">
        <f>HYPERLINK("https://www.google.iq/maps/search/+35.535,43.2234/@35.535,43.2234,14z?hl=en","Maplink2")</f>
        <v>Maplink2</v>
      </c>
      <c r="AW953" s="20" t="str">
        <f>HYPERLINK("http://www.bing.com/maps/?lvl=14&amp;sty=h&amp;cp=35.535~43.2234&amp;sp=point.35.535_43.2234","Maplink3")</f>
        <v>Maplink3</v>
      </c>
    </row>
    <row r="954" spans="1:49" s="19" customFormat="1" x14ac:dyDescent="0.25">
      <c r="A954" s="9">
        <v>21955</v>
      </c>
      <c r="B954" s="10" t="s">
        <v>22</v>
      </c>
      <c r="C954" s="10" t="s">
        <v>1399</v>
      </c>
      <c r="D954" s="10" t="s">
        <v>2025</v>
      </c>
      <c r="E954" s="10" t="s">
        <v>1415</v>
      </c>
      <c r="F954" s="10">
        <v>35.4811504368</v>
      </c>
      <c r="G954" s="10">
        <v>43.242843801799999</v>
      </c>
      <c r="H954" s="11">
        <v>614</v>
      </c>
      <c r="I954" s="11">
        <v>3684</v>
      </c>
      <c r="J954" s="11"/>
      <c r="K954" s="11"/>
      <c r="L954" s="11">
        <v>11</v>
      </c>
      <c r="M954" s="11">
        <v>23</v>
      </c>
      <c r="N954" s="11"/>
      <c r="O954" s="11"/>
      <c r="P954" s="11">
        <v>81</v>
      </c>
      <c r="Q954" s="11"/>
      <c r="R954" s="11">
        <v>135</v>
      </c>
      <c r="S954" s="11"/>
      <c r="T954" s="11"/>
      <c r="U954" s="11"/>
      <c r="V954" s="11"/>
      <c r="W954" s="11"/>
      <c r="X954" s="11">
        <v>362</v>
      </c>
      <c r="Y954" s="11">
        <v>2</v>
      </c>
      <c r="Z954" s="11"/>
      <c r="AA954" s="11"/>
      <c r="AB954" s="11"/>
      <c r="AC954" s="11">
        <v>357</v>
      </c>
      <c r="AD954" s="11">
        <v>16</v>
      </c>
      <c r="AE954" s="11"/>
      <c r="AF954" s="11">
        <v>33</v>
      </c>
      <c r="AG954" s="11"/>
      <c r="AH954" s="11"/>
      <c r="AI954" s="11">
        <v>138</v>
      </c>
      <c r="AJ954" s="11"/>
      <c r="AK954" s="11">
        <v>70</v>
      </c>
      <c r="AL954" s="11"/>
      <c r="AM954" s="11"/>
      <c r="AN954" s="11">
        <v>311</v>
      </c>
      <c r="AO954" s="11">
        <v>134</v>
      </c>
      <c r="AP954" s="11">
        <v>121</v>
      </c>
      <c r="AQ954" s="11">
        <v>23</v>
      </c>
      <c r="AR954" s="11">
        <v>16</v>
      </c>
      <c r="AS954" s="11">
        <v>9</v>
      </c>
      <c r="AT954" s="11"/>
      <c r="AU954" s="20" t="str">
        <f>HYPERLINK("http://www.openstreetmap.org/?mlat=35.4812&amp;mlon=43.2428&amp;zoom=12#map=12/35.4812/43.2428","Maplink1")</f>
        <v>Maplink1</v>
      </c>
      <c r="AV954" s="20" t="str">
        <f>HYPERLINK("https://www.google.iq/maps/search/+35.4812,43.2428/@35.4812,43.2428,14z?hl=en","Maplink2")</f>
        <v>Maplink2</v>
      </c>
      <c r="AW954" s="20" t="str">
        <f>HYPERLINK("http://www.bing.com/maps/?lvl=14&amp;sty=h&amp;cp=35.4812~43.2428&amp;sp=point.35.4812_43.2428","Maplink3")</f>
        <v>Maplink3</v>
      </c>
    </row>
    <row r="955" spans="1:49" s="19" customFormat="1" x14ac:dyDescent="0.25">
      <c r="A955" s="9">
        <v>29652</v>
      </c>
      <c r="B955" s="10" t="s">
        <v>22</v>
      </c>
      <c r="C955" s="10" t="s">
        <v>1399</v>
      </c>
      <c r="D955" s="10" t="s">
        <v>1427</v>
      </c>
      <c r="E955" s="10" t="s">
        <v>675</v>
      </c>
      <c r="F955" s="10">
        <v>35.495645358300003</v>
      </c>
      <c r="G955" s="10">
        <v>43.241441870700001</v>
      </c>
      <c r="H955" s="11">
        <v>199</v>
      </c>
      <c r="I955" s="11">
        <v>1194</v>
      </c>
      <c r="J955" s="11"/>
      <c r="K955" s="11"/>
      <c r="L955" s="11"/>
      <c r="M955" s="11"/>
      <c r="N955" s="11"/>
      <c r="O955" s="11"/>
      <c r="P955" s="11">
        <v>47</v>
      </c>
      <c r="Q955" s="11"/>
      <c r="R955" s="11">
        <v>33</v>
      </c>
      <c r="S955" s="11"/>
      <c r="T955" s="11"/>
      <c r="U955" s="11"/>
      <c r="V955" s="11"/>
      <c r="W955" s="11"/>
      <c r="X955" s="11">
        <v>119</v>
      </c>
      <c r="Y955" s="11"/>
      <c r="Z955" s="11"/>
      <c r="AA955" s="11"/>
      <c r="AB955" s="11"/>
      <c r="AC955" s="11">
        <v>183</v>
      </c>
      <c r="AD955" s="11"/>
      <c r="AE955" s="11"/>
      <c r="AF955" s="11"/>
      <c r="AG955" s="11">
        <v>1</v>
      </c>
      <c r="AH955" s="11"/>
      <c r="AI955" s="11">
        <v>15</v>
      </c>
      <c r="AJ955" s="11"/>
      <c r="AK955" s="11"/>
      <c r="AL955" s="11"/>
      <c r="AM955" s="11"/>
      <c r="AN955" s="11">
        <v>153</v>
      </c>
      <c r="AO955" s="11">
        <v>21</v>
      </c>
      <c r="AP955" s="11"/>
      <c r="AQ955" s="11"/>
      <c r="AR955" s="11">
        <v>25</v>
      </c>
      <c r="AS955" s="11"/>
      <c r="AT955" s="11"/>
      <c r="AU955" s="20" t="str">
        <f>HYPERLINK("http://www.openstreetmap.org/?mlat=35.4956&amp;mlon=43.2414&amp;zoom=12#map=12/35.4956/43.2414","Maplink1")</f>
        <v>Maplink1</v>
      </c>
      <c r="AV955" s="20" t="str">
        <f>HYPERLINK("https://www.google.iq/maps/search/+35.4956,43.2414/@35.4956,43.2414,14z?hl=en","Maplink2")</f>
        <v>Maplink2</v>
      </c>
      <c r="AW955" s="20" t="str">
        <f>HYPERLINK("http://www.bing.com/maps/?lvl=14&amp;sty=h&amp;cp=35.4956~43.2414&amp;sp=point.35.4956_43.2414","Maplink3")</f>
        <v>Maplink3</v>
      </c>
    </row>
    <row r="956" spans="1:49" s="19" customFormat="1" x14ac:dyDescent="0.25">
      <c r="A956" s="9">
        <v>29655</v>
      </c>
      <c r="B956" s="10" t="s">
        <v>22</v>
      </c>
      <c r="C956" s="10" t="s">
        <v>1399</v>
      </c>
      <c r="D956" s="10" t="s">
        <v>1428</v>
      </c>
      <c r="E956" s="10" t="s">
        <v>1429</v>
      </c>
      <c r="F956" s="10">
        <v>35.522875835599997</v>
      </c>
      <c r="G956" s="10">
        <v>43.229303637699999</v>
      </c>
      <c r="H956" s="11">
        <v>359</v>
      </c>
      <c r="I956" s="11">
        <v>2154</v>
      </c>
      <c r="J956" s="11"/>
      <c r="K956" s="11"/>
      <c r="L956" s="11">
        <v>7</v>
      </c>
      <c r="M956" s="11">
        <v>12</v>
      </c>
      <c r="N956" s="11"/>
      <c r="O956" s="11"/>
      <c r="P956" s="11">
        <v>57</v>
      </c>
      <c r="Q956" s="11"/>
      <c r="R956" s="11">
        <v>81</v>
      </c>
      <c r="S956" s="11"/>
      <c r="T956" s="11"/>
      <c r="U956" s="11"/>
      <c r="V956" s="11"/>
      <c r="W956" s="11"/>
      <c r="X956" s="11">
        <v>199</v>
      </c>
      <c r="Y956" s="11">
        <v>3</v>
      </c>
      <c r="Z956" s="11"/>
      <c r="AA956" s="11"/>
      <c r="AB956" s="11"/>
      <c r="AC956" s="11">
        <v>201</v>
      </c>
      <c r="AD956" s="11"/>
      <c r="AE956" s="11"/>
      <c r="AF956" s="11">
        <v>20</v>
      </c>
      <c r="AG956" s="11"/>
      <c r="AH956" s="11"/>
      <c r="AI956" s="11">
        <v>138</v>
      </c>
      <c r="AJ956" s="11"/>
      <c r="AK956" s="11"/>
      <c r="AL956" s="11"/>
      <c r="AM956" s="11"/>
      <c r="AN956" s="11">
        <v>153</v>
      </c>
      <c r="AO956" s="11">
        <v>14</v>
      </c>
      <c r="AP956" s="11"/>
      <c r="AQ956" s="11">
        <v>7</v>
      </c>
      <c r="AR956" s="11">
        <v>180</v>
      </c>
      <c r="AS956" s="11">
        <v>5</v>
      </c>
      <c r="AT956" s="11"/>
      <c r="AU956" s="20" t="str">
        <f>HYPERLINK("http://www.openstreetmap.org/?mlat=35.5229&amp;mlon=43.2293&amp;zoom=12#map=12/35.5229/43.2293","Maplink1")</f>
        <v>Maplink1</v>
      </c>
      <c r="AV956" s="20" t="str">
        <f>HYPERLINK("https://www.google.iq/maps/search/+35.5229,43.2293/@35.5229,43.2293,14z?hl=en","Maplink2")</f>
        <v>Maplink2</v>
      </c>
      <c r="AW956" s="20" t="str">
        <f>HYPERLINK("http://www.bing.com/maps/?lvl=14&amp;sty=h&amp;cp=35.5229~43.2293&amp;sp=point.35.5229_43.2293","Maplink3")</f>
        <v>Maplink3</v>
      </c>
    </row>
    <row r="957" spans="1:49" s="19" customFormat="1" x14ac:dyDescent="0.25">
      <c r="A957" s="9">
        <v>20403</v>
      </c>
      <c r="B957" s="10" t="s">
        <v>22</v>
      </c>
      <c r="C957" s="10" t="s">
        <v>1399</v>
      </c>
      <c r="D957" s="10" t="s">
        <v>1430</v>
      </c>
      <c r="E957" s="10" t="s">
        <v>1431</v>
      </c>
      <c r="F957" s="10">
        <v>35.561364615199999</v>
      </c>
      <c r="G957" s="10">
        <v>43.223127630999997</v>
      </c>
      <c r="H957" s="11">
        <v>196</v>
      </c>
      <c r="I957" s="11">
        <v>1176</v>
      </c>
      <c r="J957" s="11"/>
      <c r="K957" s="11"/>
      <c r="L957" s="11"/>
      <c r="M957" s="11"/>
      <c r="N957" s="11"/>
      <c r="O957" s="11"/>
      <c r="P957" s="11">
        <v>16</v>
      </c>
      <c r="Q957" s="11"/>
      <c r="R957" s="11">
        <v>15</v>
      </c>
      <c r="S957" s="11"/>
      <c r="T957" s="11"/>
      <c r="U957" s="11"/>
      <c r="V957" s="11"/>
      <c r="W957" s="11"/>
      <c r="X957" s="11">
        <v>165</v>
      </c>
      <c r="Y957" s="11"/>
      <c r="Z957" s="11"/>
      <c r="AA957" s="11"/>
      <c r="AB957" s="11"/>
      <c r="AC957" s="11">
        <v>196</v>
      </c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>
        <v>92</v>
      </c>
      <c r="AO957" s="11">
        <v>104</v>
      </c>
      <c r="AP957" s="11"/>
      <c r="AQ957" s="11"/>
      <c r="AR957" s="11"/>
      <c r="AS957" s="11"/>
      <c r="AT957" s="11"/>
      <c r="AU957" s="20" t="str">
        <f>HYPERLINK("http://www.openstreetmap.org/?mlat=35.5614&amp;mlon=43.2231&amp;zoom=12#map=12/35.5614/43.2231","Maplink1")</f>
        <v>Maplink1</v>
      </c>
      <c r="AV957" s="20" t="str">
        <f>HYPERLINK("https://www.google.iq/maps/search/+35.5614,43.2231/@35.5614,43.2231,14z?hl=en","Maplink2")</f>
        <v>Maplink2</v>
      </c>
      <c r="AW957" s="20" t="str">
        <f>HYPERLINK("http://www.bing.com/maps/?lvl=14&amp;sty=h&amp;cp=35.5614~43.2231&amp;sp=point.35.5614_43.2231","Maplink3")</f>
        <v>Maplink3</v>
      </c>
    </row>
    <row r="958" spans="1:49" s="19" customFormat="1" x14ac:dyDescent="0.25">
      <c r="A958" s="9">
        <v>33132</v>
      </c>
      <c r="B958" s="10" t="s">
        <v>22</v>
      </c>
      <c r="C958" s="10" t="s">
        <v>1399</v>
      </c>
      <c r="D958" s="10" t="s">
        <v>1676</v>
      </c>
      <c r="E958" s="10" t="s">
        <v>1677</v>
      </c>
      <c r="F958" s="10">
        <v>35.637101999999999</v>
      </c>
      <c r="G958" s="10">
        <v>43.272233</v>
      </c>
      <c r="H958" s="11">
        <v>27</v>
      </c>
      <c r="I958" s="11">
        <v>162</v>
      </c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>
        <v>27</v>
      </c>
      <c r="Y958" s="11"/>
      <c r="Z958" s="11"/>
      <c r="AA958" s="11"/>
      <c r="AB958" s="11"/>
      <c r="AC958" s="11">
        <v>22</v>
      </c>
      <c r="AD958" s="11">
        <v>5</v>
      </c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>
        <v>5</v>
      </c>
      <c r="AR958" s="11">
        <v>15</v>
      </c>
      <c r="AS958" s="11">
        <v>7</v>
      </c>
      <c r="AT958" s="11"/>
      <c r="AU958" s="20" t="str">
        <f>HYPERLINK("http://www.openstreetmap.org/?mlat=35.6371&amp;mlon=43.2722&amp;zoom=12#map=12/35.6371/43.2722","Maplink1")</f>
        <v>Maplink1</v>
      </c>
      <c r="AV958" s="20" t="str">
        <f>HYPERLINK("https://www.google.iq/maps/search/+35.6371,43.2722/@35.6371,43.2722,14z?hl=en","Maplink2")</f>
        <v>Maplink2</v>
      </c>
      <c r="AW958" s="20" t="str">
        <f>HYPERLINK("http://www.bing.com/maps/?lvl=14&amp;sty=h&amp;cp=35.6371~43.2722&amp;sp=point.35.6371_43.2722","Maplink3")</f>
        <v>Maplink3</v>
      </c>
    </row>
    <row r="959" spans="1:49" s="19" customFormat="1" x14ac:dyDescent="0.25">
      <c r="A959" s="9">
        <v>20991</v>
      </c>
      <c r="B959" s="10" t="s">
        <v>22</v>
      </c>
      <c r="C959" s="10" t="s">
        <v>1399</v>
      </c>
      <c r="D959" s="10" t="s">
        <v>1432</v>
      </c>
      <c r="E959" s="10" t="s">
        <v>1433</v>
      </c>
      <c r="F959" s="10">
        <v>35.468224999999997</v>
      </c>
      <c r="G959" s="10">
        <v>43.244653</v>
      </c>
      <c r="H959" s="11">
        <v>308</v>
      </c>
      <c r="I959" s="11">
        <v>1848</v>
      </c>
      <c r="J959" s="11"/>
      <c r="K959" s="11"/>
      <c r="L959" s="11">
        <v>12</v>
      </c>
      <c r="M959" s="11">
        <v>14</v>
      </c>
      <c r="N959" s="11"/>
      <c r="O959" s="11"/>
      <c r="P959" s="11">
        <v>53</v>
      </c>
      <c r="Q959" s="11"/>
      <c r="R959" s="11">
        <v>25</v>
      </c>
      <c r="S959" s="11"/>
      <c r="T959" s="11"/>
      <c r="U959" s="11"/>
      <c r="V959" s="11"/>
      <c r="W959" s="11"/>
      <c r="X959" s="11">
        <v>189</v>
      </c>
      <c r="Y959" s="11">
        <v>15</v>
      </c>
      <c r="Z959" s="11"/>
      <c r="AA959" s="11"/>
      <c r="AB959" s="11"/>
      <c r="AC959" s="11">
        <v>308</v>
      </c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>
        <v>208</v>
      </c>
      <c r="AO959" s="11">
        <v>100</v>
      </c>
      <c r="AP959" s="11"/>
      <c r="AQ959" s="11"/>
      <c r="AR959" s="11"/>
      <c r="AS959" s="11"/>
      <c r="AT959" s="11"/>
      <c r="AU959" s="20" t="str">
        <f>HYPERLINK("http://www.openstreetmap.org/?mlat=35.4682&amp;mlon=43.2447&amp;zoom=12#map=12/35.4682/43.2447","Maplink1")</f>
        <v>Maplink1</v>
      </c>
      <c r="AV959" s="20" t="str">
        <f>HYPERLINK("https://www.google.iq/maps/search/+35.4682,43.2447/@35.4682,43.2447,14z?hl=en","Maplink2")</f>
        <v>Maplink2</v>
      </c>
      <c r="AW959" s="20" t="str">
        <f>HYPERLINK("http://www.bing.com/maps/?lvl=14&amp;sty=h&amp;cp=35.4682~43.2447&amp;sp=point.35.4682_43.2447","Maplink3")</f>
        <v>Maplink3</v>
      </c>
    </row>
    <row r="960" spans="1:49" s="19" customFormat="1" x14ac:dyDescent="0.25">
      <c r="A960" s="9">
        <v>22513</v>
      </c>
      <c r="B960" s="10" t="s">
        <v>22</v>
      </c>
      <c r="C960" s="10" t="s">
        <v>1399</v>
      </c>
      <c r="D960" s="10" t="s">
        <v>2026</v>
      </c>
      <c r="E960" s="10" t="s">
        <v>2027</v>
      </c>
      <c r="F960" s="10">
        <v>35.331657999999997</v>
      </c>
      <c r="G960" s="10">
        <v>43.178167000000002</v>
      </c>
      <c r="H960" s="11">
        <v>80</v>
      </c>
      <c r="I960" s="11">
        <v>480</v>
      </c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>
        <v>80</v>
      </c>
      <c r="Y960" s="11"/>
      <c r="Z960" s="11"/>
      <c r="AA960" s="11"/>
      <c r="AB960" s="11"/>
      <c r="AC960" s="11">
        <v>72</v>
      </c>
      <c r="AD960" s="11">
        <v>8</v>
      </c>
      <c r="AE960" s="11"/>
      <c r="AF960" s="11"/>
      <c r="AG960" s="11"/>
      <c r="AH960" s="11"/>
      <c r="AI960" s="11"/>
      <c r="AJ960" s="11"/>
      <c r="AK960" s="11"/>
      <c r="AL960" s="11"/>
      <c r="AM960" s="11"/>
      <c r="AN960" s="11">
        <v>15</v>
      </c>
      <c r="AO960" s="11">
        <v>23</v>
      </c>
      <c r="AP960" s="11">
        <v>19</v>
      </c>
      <c r="AQ960" s="11">
        <v>8</v>
      </c>
      <c r="AR960" s="11">
        <v>15</v>
      </c>
      <c r="AS960" s="11"/>
      <c r="AT960" s="11"/>
      <c r="AU960" s="20" t="str">
        <f>HYPERLINK("http://www.openstreetmap.org/?mlat=35.3317&amp;mlon=43.1782&amp;zoom=12#map=12/35.3317/43.1782","Maplink1")</f>
        <v>Maplink1</v>
      </c>
      <c r="AV960" s="20" t="str">
        <f>HYPERLINK("https://www.google.iq/maps/search/+35.3317,43.1782/@35.3317,43.1782,14z?hl=en","Maplink2")</f>
        <v>Maplink2</v>
      </c>
      <c r="AW960" s="20" t="str">
        <f>HYPERLINK("http://www.bing.com/maps/?lvl=14&amp;sty=h&amp;cp=35.3317~43.1782&amp;sp=point.35.3317_43.1782","Maplink3")</f>
        <v>Maplink3</v>
      </c>
    </row>
    <row r="961" spans="1:49" s="19" customFormat="1" x14ac:dyDescent="0.25">
      <c r="A961" s="9">
        <v>33130</v>
      </c>
      <c r="B961" s="10" t="s">
        <v>22</v>
      </c>
      <c r="C961" s="10" t="s">
        <v>1399</v>
      </c>
      <c r="D961" s="10" t="s">
        <v>1678</v>
      </c>
      <c r="E961" s="10" t="s">
        <v>1679</v>
      </c>
      <c r="F961" s="10">
        <v>35.608435</v>
      </c>
      <c r="G961" s="10">
        <v>43.275655</v>
      </c>
      <c r="H961" s="11">
        <v>52</v>
      </c>
      <c r="I961" s="11">
        <v>312</v>
      </c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>
        <v>8</v>
      </c>
      <c r="W961" s="11"/>
      <c r="X961" s="11">
        <v>44</v>
      </c>
      <c r="Y961" s="11"/>
      <c r="Z961" s="11"/>
      <c r="AA961" s="11"/>
      <c r="AB961" s="11"/>
      <c r="AC961" s="11">
        <v>46</v>
      </c>
      <c r="AD961" s="11">
        <v>6</v>
      </c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>
        <v>10</v>
      </c>
      <c r="AR961" s="11">
        <v>14</v>
      </c>
      <c r="AS961" s="11">
        <v>13</v>
      </c>
      <c r="AT961" s="11">
        <v>15</v>
      </c>
      <c r="AU961" s="20" t="str">
        <f>HYPERLINK("http://www.openstreetmap.org/?mlat=35.6084&amp;mlon=43.2757&amp;zoom=12#map=12/35.6084/43.2757","Maplink1")</f>
        <v>Maplink1</v>
      </c>
      <c r="AV961" s="20" t="str">
        <f>HYPERLINK("https://www.google.iq/maps/search/+35.6084,43.2757/@35.6084,43.2757,14z?hl=en","Maplink2")</f>
        <v>Maplink2</v>
      </c>
      <c r="AW961" s="20" t="str">
        <f>HYPERLINK("http://www.bing.com/maps/?lvl=14&amp;sty=h&amp;cp=35.6084~43.2757&amp;sp=point.35.6084_43.2757","Maplink3")</f>
        <v>Maplink3</v>
      </c>
    </row>
    <row r="962" spans="1:49" s="19" customFormat="1" x14ac:dyDescent="0.25">
      <c r="A962" s="9">
        <v>33122</v>
      </c>
      <c r="B962" s="10" t="s">
        <v>22</v>
      </c>
      <c r="C962" s="10" t="s">
        <v>1399</v>
      </c>
      <c r="D962" s="10" t="s">
        <v>1680</v>
      </c>
      <c r="E962" s="10" t="s">
        <v>1681</v>
      </c>
      <c r="F962" s="10">
        <v>35.443156999999999</v>
      </c>
      <c r="G962" s="10">
        <v>43.295248000000001</v>
      </c>
      <c r="H962" s="11">
        <v>1220</v>
      </c>
      <c r="I962" s="11">
        <v>7320</v>
      </c>
      <c r="J962" s="11"/>
      <c r="K962" s="11"/>
      <c r="L962" s="11"/>
      <c r="M962" s="11"/>
      <c r="N962" s="11"/>
      <c r="O962" s="11"/>
      <c r="P962" s="11">
        <v>124</v>
      </c>
      <c r="Q962" s="11"/>
      <c r="R962" s="11">
        <v>183</v>
      </c>
      <c r="S962" s="11"/>
      <c r="T962" s="11"/>
      <c r="U962" s="11"/>
      <c r="V962" s="11">
        <v>15</v>
      </c>
      <c r="W962" s="11"/>
      <c r="X962" s="11">
        <v>898</v>
      </c>
      <c r="Y962" s="11"/>
      <c r="Z962" s="11"/>
      <c r="AA962" s="11"/>
      <c r="AB962" s="11"/>
      <c r="AC962" s="11">
        <v>992</v>
      </c>
      <c r="AD962" s="11">
        <v>131</v>
      </c>
      <c r="AE962" s="11"/>
      <c r="AF962" s="11"/>
      <c r="AG962" s="11"/>
      <c r="AH962" s="11"/>
      <c r="AI962" s="11">
        <v>97</v>
      </c>
      <c r="AJ962" s="11"/>
      <c r="AK962" s="11"/>
      <c r="AL962" s="11"/>
      <c r="AM962" s="11"/>
      <c r="AN962" s="11">
        <v>198</v>
      </c>
      <c r="AO962" s="11">
        <v>104</v>
      </c>
      <c r="AP962" s="11">
        <v>305</v>
      </c>
      <c r="AQ962" s="11">
        <v>139</v>
      </c>
      <c r="AR962" s="11">
        <v>147</v>
      </c>
      <c r="AS962" s="11">
        <v>327</v>
      </c>
      <c r="AT962" s="11"/>
      <c r="AU962" s="20" t="str">
        <f>HYPERLINK("http://www.openstreetmap.org/?mlat=35.4432&amp;mlon=43.2952&amp;zoom=12#map=12/35.4432/43.2952","Maplink1")</f>
        <v>Maplink1</v>
      </c>
      <c r="AV962" s="20" t="str">
        <f>HYPERLINK("https://www.google.iq/maps/search/+35.4432,43.2952/@35.4432,43.2952,14z?hl=en","Maplink2")</f>
        <v>Maplink2</v>
      </c>
      <c r="AW962" s="20" t="str">
        <f>HYPERLINK("http://www.bing.com/maps/?lvl=14&amp;sty=h&amp;cp=35.4432~43.2952&amp;sp=point.35.4432_43.2952","Maplink3")</f>
        <v>Maplink3</v>
      </c>
    </row>
    <row r="963" spans="1:49" s="19" customFormat="1" x14ac:dyDescent="0.25">
      <c r="A963" s="9">
        <v>20613</v>
      </c>
      <c r="B963" s="10" t="s">
        <v>22</v>
      </c>
      <c r="C963" s="10" t="s">
        <v>1399</v>
      </c>
      <c r="D963" s="10" t="s">
        <v>1682</v>
      </c>
      <c r="E963" s="10" t="s">
        <v>1683</v>
      </c>
      <c r="F963" s="10">
        <v>35.451979999999999</v>
      </c>
      <c r="G963" s="10">
        <v>43.293002999999999</v>
      </c>
      <c r="H963" s="11">
        <v>652</v>
      </c>
      <c r="I963" s="11">
        <v>3912</v>
      </c>
      <c r="J963" s="11"/>
      <c r="K963" s="11"/>
      <c r="L963" s="11"/>
      <c r="M963" s="11"/>
      <c r="N963" s="11"/>
      <c r="O963" s="11"/>
      <c r="P963" s="11">
        <v>165</v>
      </c>
      <c r="Q963" s="11"/>
      <c r="R963" s="11"/>
      <c r="S963" s="11"/>
      <c r="T963" s="11"/>
      <c r="U963" s="11"/>
      <c r="V963" s="11"/>
      <c r="W963" s="11"/>
      <c r="X963" s="11">
        <v>487</v>
      </c>
      <c r="Y963" s="11"/>
      <c r="Z963" s="11"/>
      <c r="AA963" s="11"/>
      <c r="AB963" s="11"/>
      <c r="AC963" s="11">
        <v>542</v>
      </c>
      <c r="AD963" s="11">
        <v>38</v>
      </c>
      <c r="AE963" s="11"/>
      <c r="AF963" s="11"/>
      <c r="AG963" s="11"/>
      <c r="AH963" s="11"/>
      <c r="AI963" s="11">
        <v>72</v>
      </c>
      <c r="AJ963" s="11"/>
      <c r="AK963" s="11"/>
      <c r="AL963" s="11"/>
      <c r="AM963" s="11"/>
      <c r="AN963" s="11">
        <v>137</v>
      </c>
      <c r="AO963" s="11">
        <v>103</v>
      </c>
      <c r="AP963" s="11">
        <v>203</v>
      </c>
      <c r="AQ963" s="11">
        <v>76</v>
      </c>
      <c r="AR963" s="11">
        <v>133</v>
      </c>
      <c r="AS963" s="11"/>
      <c r="AT963" s="11"/>
      <c r="AU963" s="20" t="str">
        <f>HYPERLINK("http://www.openstreetmap.org/?mlat=35.452&amp;mlon=43.293&amp;zoom=12#map=12/35.452/43.293","Maplink1")</f>
        <v>Maplink1</v>
      </c>
      <c r="AV963" s="20" t="str">
        <f>HYPERLINK("https://www.google.iq/maps/search/+35.452,43.293/@35.452,43.293,14z?hl=en","Maplink2")</f>
        <v>Maplink2</v>
      </c>
      <c r="AW963" s="20" t="str">
        <f>HYPERLINK("http://www.bing.com/maps/?lvl=14&amp;sty=h&amp;cp=35.452~43.293&amp;sp=point.35.452_43.293","Maplink3")</f>
        <v>Maplink3</v>
      </c>
    </row>
    <row r="964" spans="1:49" s="19" customFormat="1" x14ac:dyDescent="0.25">
      <c r="A964" s="9">
        <v>20588</v>
      </c>
      <c r="B964" s="10" t="s">
        <v>22</v>
      </c>
      <c r="C964" s="10" t="s">
        <v>1399</v>
      </c>
      <c r="D964" s="10" t="s">
        <v>1434</v>
      </c>
      <c r="E964" s="10" t="s">
        <v>1435</v>
      </c>
      <c r="F964" s="10">
        <v>35.466904</v>
      </c>
      <c r="G964" s="10">
        <v>43.282837999999998</v>
      </c>
      <c r="H964" s="11">
        <v>20</v>
      </c>
      <c r="I964" s="11">
        <v>120</v>
      </c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>
        <v>15</v>
      </c>
      <c r="W964" s="11"/>
      <c r="X964" s="11">
        <v>5</v>
      </c>
      <c r="Y964" s="11"/>
      <c r="Z964" s="11"/>
      <c r="AA964" s="11"/>
      <c r="AB964" s="11"/>
      <c r="AC964" s="11">
        <v>20</v>
      </c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>
        <v>5</v>
      </c>
      <c r="AQ964" s="11"/>
      <c r="AR964" s="11"/>
      <c r="AS964" s="11"/>
      <c r="AT964" s="11">
        <v>15</v>
      </c>
      <c r="AU964" s="20" t="str">
        <f>HYPERLINK("http://www.openstreetmap.org/?mlat=35.4669&amp;mlon=43.2828&amp;zoom=12#map=12/35.4669/43.2828","Maplink1")</f>
        <v>Maplink1</v>
      </c>
      <c r="AV964" s="20" t="str">
        <f>HYPERLINK("https://www.google.iq/maps/search/+35.4669,43.2828/@35.4669,43.2828,14z?hl=en","Maplink2")</f>
        <v>Maplink2</v>
      </c>
      <c r="AW964" s="20" t="str">
        <f>HYPERLINK("http://www.bing.com/maps/?lvl=14&amp;sty=h&amp;cp=35.4669~43.2828&amp;sp=point.35.4669_43.2828","Maplink3")</f>
        <v>Maplink3</v>
      </c>
    </row>
    <row r="965" spans="1:49" s="19" customFormat="1" x14ac:dyDescent="0.25">
      <c r="A965" s="9">
        <v>33123</v>
      </c>
      <c r="B965" s="10" t="s">
        <v>22</v>
      </c>
      <c r="C965" s="10" t="s">
        <v>1399</v>
      </c>
      <c r="D965" s="10" t="s">
        <v>1684</v>
      </c>
      <c r="E965" s="10" t="s">
        <v>1685</v>
      </c>
      <c r="F965" s="10">
        <v>35.430951</v>
      </c>
      <c r="G965" s="10">
        <v>43.291867000000003</v>
      </c>
      <c r="H965" s="11">
        <v>728</v>
      </c>
      <c r="I965" s="11">
        <v>4368</v>
      </c>
      <c r="J965" s="11"/>
      <c r="K965" s="11"/>
      <c r="L965" s="11"/>
      <c r="M965" s="11"/>
      <c r="N965" s="11"/>
      <c r="O965" s="11"/>
      <c r="P965" s="11">
        <v>125</v>
      </c>
      <c r="Q965" s="11"/>
      <c r="R965" s="11">
        <v>71</v>
      </c>
      <c r="S965" s="11"/>
      <c r="T965" s="11"/>
      <c r="U965" s="11"/>
      <c r="V965" s="11"/>
      <c r="W965" s="11"/>
      <c r="X965" s="11">
        <v>532</v>
      </c>
      <c r="Y965" s="11"/>
      <c r="Z965" s="11"/>
      <c r="AA965" s="11"/>
      <c r="AB965" s="11"/>
      <c r="AC965" s="11">
        <v>630</v>
      </c>
      <c r="AD965" s="11">
        <v>12</v>
      </c>
      <c r="AE965" s="11"/>
      <c r="AF965" s="11"/>
      <c r="AG965" s="11">
        <v>7</v>
      </c>
      <c r="AH965" s="11"/>
      <c r="AI965" s="11">
        <v>79</v>
      </c>
      <c r="AJ965" s="11"/>
      <c r="AK965" s="11"/>
      <c r="AL965" s="11"/>
      <c r="AM965" s="11"/>
      <c r="AN965" s="11">
        <v>246</v>
      </c>
      <c r="AO965" s="11">
        <v>171</v>
      </c>
      <c r="AP965" s="11">
        <v>198</v>
      </c>
      <c r="AQ965" s="11">
        <v>32</v>
      </c>
      <c r="AR965" s="11">
        <v>43</v>
      </c>
      <c r="AS965" s="11">
        <v>38</v>
      </c>
      <c r="AT965" s="11"/>
      <c r="AU965" s="20" t="str">
        <f>HYPERLINK("http://www.openstreetmap.org/?mlat=35.431&amp;mlon=43.2919&amp;zoom=12#map=12/35.431/43.2919","Maplink1")</f>
        <v>Maplink1</v>
      </c>
      <c r="AV965" s="20" t="str">
        <f>HYPERLINK("https://www.google.iq/maps/search/+35.431,43.2919/@35.431,43.2919,14z?hl=en","Maplink2")</f>
        <v>Maplink2</v>
      </c>
      <c r="AW965" s="20" t="str">
        <f>HYPERLINK("http://www.bing.com/maps/?lvl=14&amp;sty=h&amp;cp=35.431~43.2919&amp;sp=point.35.431_43.2919","Maplink3")</f>
        <v>Maplink3</v>
      </c>
    </row>
    <row r="966" spans="1:49" s="19" customFormat="1" x14ac:dyDescent="0.25">
      <c r="A966" s="9">
        <v>21006</v>
      </c>
      <c r="B966" s="10" t="s">
        <v>22</v>
      </c>
      <c r="C966" s="10" t="s">
        <v>1399</v>
      </c>
      <c r="D966" s="10" t="s">
        <v>1436</v>
      </c>
      <c r="E966" s="10" t="s">
        <v>1437</v>
      </c>
      <c r="F966" s="10">
        <v>35.51099936</v>
      </c>
      <c r="G966" s="10">
        <v>43.235405899699998</v>
      </c>
      <c r="H966" s="11">
        <v>1134</v>
      </c>
      <c r="I966" s="11">
        <v>6804</v>
      </c>
      <c r="J966" s="11"/>
      <c r="K966" s="11"/>
      <c r="L966" s="11">
        <v>8</v>
      </c>
      <c r="M966" s="11">
        <v>18</v>
      </c>
      <c r="N966" s="11"/>
      <c r="O966" s="11"/>
      <c r="P966" s="11">
        <v>241</v>
      </c>
      <c r="Q966" s="11"/>
      <c r="R966" s="11">
        <v>238</v>
      </c>
      <c r="S966" s="11"/>
      <c r="T966" s="11"/>
      <c r="U966" s="11"/>
      <c r="V966" s="11"/>
      <c r="W966" s="11"/>
      <c r="X966" s="11">
        <v>614</v>
      </c>
      <c r="Y966" s="11">
        <v>15</v>
      </c>
      <c r="Z966" s="11"/>
      <c r="AA966" s="11"/>
      <c r="AB966" s="11"/>
      <c r="AC966" s="11">
        <v>912</v>
      </c>
      <c r="AD966" s="11">
        <v>113</v>
      </c>
      <c r="AE966" s="11"/>
      <c r="AF966" s="11"/>
      <c r="AG966" s="11"/>
      <c r="AH966" s="11"/>
      <c r="AI966" s="11">
        <v>109</v>
      </c>
      <c r="AJ966" s="11"/>
      <c r="AK966" s="11"/>
      <c r="AL966" s="11"/>
      <c r="AM966" s="11"/>
      <c r="AN966" s="11">
        <v>571</v>
      </c>
      <c r="AO966" s="11">
        <v>349</v>
      </c>
      <c r="AP966" s="11">
        <v>68</v>
      </c>
      <c r="AQ966" s="11">
        <v>135</v>
      </c>
      <c r="AR966" s="11">
        <v>11</v>
      </c>
      <c r="AS966" s="11"/>
      <c r="AT966" s="11"/>
      <c r="AU966" s="20" t="str">
        <f>HYPERLINK("http://www.openstreetmap.org/?mlat=35.511&amp;mlon=43.2354&amp;zoom=12#map=12/35.511/43.2354","Maplink1")</f>
        <v>Maplink1</v>
      </c>
      <c r="AV966" s="20" t="str">
        <f>HYPERLINK("https://www.google.iq/maps/search/+35.511,43.2354/@35.511,43.2354,14z?hl=en","Maplink2")</f>
        <v>Maplink2</v>
      </c>
      <c r="AW966" s="20" t="str">
        <f>HYPERLINK("http://www.bing.com/maps/?lvl=14&amp;sty=h&amp;cp=35.511~43.2354&amp;sp=point.35.511_43.2354","Maplink3")</f>
        <v>Maplink3</v>
      </c>
    </row>
    <row r="967" spans="1:49" s="19" customFormat="1" x14ac:dyDescent="0.25">
      <c r="A967" s="9">
        <v>33134</v>
      </c>
      <c r="B967" s="10" t="s">
        <v>22</v>
      </c>
      <c r="C967" s="10" t="s">
        <v>1399</v>
      </c>
      <c r="D967" s="10" t="s">
        <v>1686</v>
      </c>
      <c r="E967" s="10" t="s">
        <v>2028</v>
      </c>
      <c r="F967" s="10">
        <v>35.393577999999998</v>
      </c>
      <c r="G967" s="10">
        <v>43.479284999999997</v>
      </c>
      <c r="H967" s="11">
        <v>2</v>
      </c>
      <c r="I967" s="11">
        <v>12</v>
      </c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>
        <v>2</v>
      </c>
      <c r="Y967" s="11"/>
      <c r="Z967" s="11"/>
      <c r="AA967" s="11"/>
      <c r="AB967" s="11"/>
      <c r="AC967" s="11">
        <v>2</v>
      </c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>
        <v>2</v>
      </c>
      <c r="AT967" s="11"/>
      <c r="AU967" s="20" t="str">
        <f>HYPERLINK("http://www.openstreetmap.org/?mlat=35.3936&amp;mlon=43.4793&amp;zoom=12#map=12/35.3936/43.4793","Maplink1")</f>
        <v>Maplink1</v>
      </c>
      <c r="AV967" s="20" t="str">
        <f>HYPERLINK("https://www.google.iq/maps/search/+35.3936,43.4793/@35.3936,43.4793,14z?hl=en","Maplink2")</f>
        <v>Maplink2</v>
      </c>
      <c r="AW967" s="20" t="str">
        <f>HYPERLINK("http://www.bing.com/maps/?lvl=14&amp;sty=h&amp;cp=35.3936~43.4793&amp;sp=point.35.3936_43.4793","Maplink3")</f>
        <v>Maplink3</v>
      </c>
    </row>
    <row r="968" spans="1:49" s="19" customFormat="1" x14ac:dyDescent="0.25">
      <c r="A968" s="9">
        <v>33131</v>
      </c>
      <c r="B968" s="10" t="s">
        <v>22</v>
      </c>
      <c r="C968" s="10" t="s">
        <v>1399</v>
      </c>
      <c r="D968" s="10" t="s">
        <v>1687</v>
      </c>
      <c r="E968" s="10" t="s">
        <v>1688</v>
      </c>
      <c r="F968" s="10">
        <v>35.565807</v>
      </c>
      <c r="G968" s="10">
        <v>43.29365</v>
      </c>
      <c r="H968" s="11">
        <v>31</v>
      </c>
      <c r="I968" s="11">
        <v>186</v>
      </c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>
        <v>31</v>
      </c>
      <c r="Y968" s="11"/>
      <c r="Z968" s="11"/>
      <c r="AA968" s="11"/>
      <c r="AB968" s="11"/>
      <c r="AC968" s="11">
        <v>26</v>
      </c>
      <c r="AD968" s="11">
        <v>5</v>
      </c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>
        <v>5</v>
      </c>
      <c r="AS968" s="11">
        <v>26</v>
      </c>
      <c r="AT968" s="11"/>
      <c r="AU968" s="20" t="str">
        <f>HYPERLINK("http://www.openstreetmap.org/?mlat=35.5658&amp;mlon=43.2937&amp;zoom=12#map=12/35.5658/43.2937","Maplink1")</f>
        <v>Maplink1</v>
      </c>
      <c r="AV968" s="20" t="str">
        <f>HYPERLINK("https://www.google.iq/maps/search/+35.5658,43.2937/@35.5658,43.2937,14z?hl=en","Maplink2")</f>
        <v>Maplink2</v>
      </c>
      <c r="AW968" s="20" t="str">
        <f>HYPERLINK("http://www.bing.com/maps/?lvl=14&amp;sty=h&amp;cp=35.5658~43.2937&amp;sp=point.35.5658_43.2937","Maplink3")</f>
        <v>Maplink3</v>
      </c>
    </row>
    <row r="969" spans="1:49" s="19" customFormat="1" x14ac:dyDescent="0.25">
      <c r="A969" s="9">
        <v>29632</v>
      </c>
      <c r="B969" s="10" t="s">
        <v>22</v>
      </c>
      <c r="C969" s="10" t="s">
        <v>1438</v>
      </c>
      <c r="D969" s="10" t="s">
        <v>1439</v>
      </c>
      <c r="E969" s="10" t="s">
        <v>1440</v>
      </c>
      <c r="F969" s="10">
        <v>34.904136000000001</v>
      </c>
      <c r="G969" s="10">
        <v>43.527140000000003</v>
      </c>
      <c r="H969" s="11">
        <v>300</v>
      </c>
      <c r="I969" s="11">
        <v>1800</v>
      </c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>
        <v>300</v>
      </c>
      <c r="Y969" s="11"/>
      <c r="Z969" s="11"/>
      <c r="AA969" s="11"/>
      <c r="AB969" s="11"/>
      <c r="AC969" s="11">
        <v>300</v>
      </c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>
        <v>200</v>
      </c>
      <c r="AO969" s="11">
        <v>100</v>
      </c>
      <c r="AP969" s="11"/>
      <c r="AQ969" s="11"/>
      <c r="AR969" s="11"/>
      <c r="AS969" s="11"/>
      <c r="AT969" s="11"/>
      <c r="AU969" s="20" t="str">
        <f>HYPERLINK("http://www.openstreetmap.org/?mlat=34.9041&amp;mlon=43.5271&amp;zoom=12#map=12/34.9041/43.5271","Maplink1")</f>
        <v>Maplink1</v>
      </c>
      <c r="AV969" s="20" t="str">
        <f>HYPERLINK("https://www.google.iq/maps/search/+34.9041,43.5271/@34.9041,43.5271,14z?hl=en","Maplink2")</f>
        <v>Maplink2</v>
      </c>
      <c r="AW969" s="20" t="str">
        <f>HYPERLINK("http://www.bing.com/maps/?lvl=14&amp;sty=h&amp;cp=34.9041~43.5271&amp;sp=point.34.9041_43.5271","Maplink3")</f>
        <v>Maplink3</v>
      </c>
    </row>
    <row r="970" spans="1:49" s="19" customFormat="1" x14ac:dyDescent="0.25">
      <c r="A970" s="9">
        <v>23388</v>
      </c>
      <c r="B970" s="10" t="s">
        <v>22</v>
      </c>
      <c r="C970" s="10" t="s">
        <v>1438</v>
      </c>
      <c r="D970" s="10" t="s">
        <v>1441</v>
      </c>
      <c r="E970" s="10" t="s">
        <v>1442</v>
      </c>
      <c r="F970" s="10">
        <v>34.759223805700003</v>
      </c>
      <c r="G970" s="10">
        <v>43.601933000599999</v>
      </c>
      <c r="H970" s="11">
        <v>315</v>
      </c>
      <c r="I970" s="11">
        <v>1890</v>
      </c>
      <c r="J970" s="11"/>
      <c r="K970" s="11"/>
      <c r="L970" s="11">
        <v>3</v>
      </c>
      <c r="M970" s="11"/>
      <c r="N970" s="11"/>
      <c r="O970" s="11"/>
      <c r="P970" s="11">
        <v>50</v>
      </c>
      <c r="Q970" s="11"/>
      <c r="R970" s="11">
        <v>181</v>
      </c>
      <c r="S970" s="11"/>
      <c r="T970" s="11"/>
      <c r="U970" s="11"/>
      <c r="V970" s="11"/>
      <c r="W970" s="11"/>
      <c r="X970" s="11">
        <v>31</v>
      </c>
      <c r="Y970" s="11">
        <v>50</v>
      </c>
      <c r="Z970" s="11"/>
      <c r="AA970" s="11"/>
      <c r="AB970" s="11"/>
      <c r="AC970" s="11">
        <v>295</v>
      </c>
      <c r="AD970" s="11"/>
      <c r="AE970" s="11"/>
      <c r="AF970" s="11"/>
      <c r="AG970" s="11"/>
      <c r="AH970" s="11"/>
      <c r="AI970" s="11">
        <v>20</v>
      </c>
      <c r="AJ970" s="11"/>
      <c r="AK970" s="11"/>
      <c r="AL970" s="11"/>
      <c r="AM970" s="11"/>
      <c r="AN970" s="11">
        <v>284</v>
      </c>
      <c r="AO970" s="11"/>
      <c r="AP970" s="11">
        <v>14</v>
      </c>
      <c r="AQ970" s="11"/>
      <c r="AR970" s="11"/>
      <c r="AS970" s="11">
        <v>17</v>
      </c>
      <c r="AT970" s="11"/>
      <c r="AU970" s="20" t="str">
        <f>HYPERLINK("http://www.openstreetmap.org/?mlat=34.7592&amp;mlon=43.6019&amp;zoom=12#map=12/34.7592/43.6019","Maplink1")</f>
        <v>Maplink1</v>
      </c>
      <c r="AV970" s="20" t="str">
        <f>HYPERLINK("https://www.google.iq/maps/search/+34.7592,43.6019/@34.7592,43.6019,14z?hl=en","Maplink2")</f>
        <v>Maplink2</v>
      </c>
      <c r="AW970" s="20" t="str">
        <f>HYPERLINK("http://www.bing.com/maps/?lvl=14&amp;sty=h&amp;cp=34.7592~43.6019&amp;sp=point.34.7592_43.6019","Maplink3")</f>
        <v>Maplink3</v>
      </c>
    </row>
    <row r="971" spans="1:49" s="19" customFormat="1" x14ac:dyDescent="0.25">
      <c r="A971" s="9">
        <v>25921</v>
      </c>
      <c r="B971" s="10" t="s">
        <v>22</v>
      </c>
      <c r="C971" s="10" t="s">
        <v>1438</v>
      </c>
      <c r="D971" s="10" t="s">
        <v>1443</v>
      </c>
      <c r="E971" s="10" t="s">
        <v>2029</v>
      </c>
      <c r="F971" s="10">
        <v>34.84794823</v>
      </c>
      <c r="G971" s="10">
        <v>43.51412586</v>
      </c>
      <c r="H971" s="11">
        <v>1931</v>
      </c>
      <c r="I971" s="11">
        <v>11586</v>
      </c>
      <c r="J971" s="11"/>
      <c r="K971" s="11"/>
      <c r="L971" s="11">
        <v>5</v>
      </c>
      <c r="M971" s="11">
        <v>5</v>
      </c>
      <c r="N971" s="11"/>
      <c r="O971" s="11"/>
      <c r="P971" s="11">
        <v>1908</v>
      </c>
      <c r="Q971" s="11"/>
      <c r="R971" s="11">
        <v>10</v>
      </c>
      <c r="S971" s="11"/>
      <c r="T971" s="11"/>
      <c r="U971" s="11"/>
      <c r="V971" s="11"/>
      <c r="W971" s="11"/>
      <c r="X971" s="11">
        <v>3</v>
      </c>
      <c r="Y971" s="11"/>
      <c r="Z971" s="11"/>
      <c r="AA971" s="11"/>
      <c r="AB971" s="11"/>
      <c r="AC971" s="11">
        <v>1920</v>
      </c>
      <c r="AD971" s="11">
        <v>11</v>
      </c>
      <c r="AE971" s="11"/>
      <c r="AF971" s="11"/>
      <c r="AG971" s="11"/>
      <c r="AH971" s="11"/>
      <c r="AI971" s="11"/>
      <c r="AJ971" s="11"/>
      <c r="AK971" s="11"/>
      <c r="AL971" s="11"/>
      <c r="AM971" s="11">
        <v>90</v>
      </c>
      <c r="AN971" s="11">
        <v>1750</v>
      </c>
      <c r="AO971" s="11">
        <v>91</v>
      </c>
      <c r="AP971" s="11"/>
      <c r="AQ971" s="11"/>
      <c r="AR971" s="11"/>
      <c r="AS971" s="11"/>
      <c r="AT971" s="11"/>
      <c r="AU971" s="20" t="str">
        <f>HYPERLINK("http://www.openstreetmap.org/?mlat=34.8479&amp;mlon=43.5141&amp;zoom=12#map=12/34.8479/43.5141","Maplink1")</f>
        <v>Maplink1</v>
      </c>
      <c r="AV971" s="20" t="str">
        <f>HYPERLINK("https://www.google.iq/maps/search/+34.8479,43.5141/@34.8479,43.5141,14z?hl=en","Maplink2")</f>
        <v>Maplink2</v>
      </c>
      <c r="AW971" s="20" t="str">
        <f>HYPERLINK("http://www.bing.com/maps/?lvl=14&amp;sty=h&amp;cp=34.8479~43.5141&amp;sp=point.34.8479_43.5141","Maplink3")</f>
        <v>Maplink3</v>
      </c>
    </row>
    <row r="972" spans="1:49" s="19" customFormat="1" x14ac:dyDescent="0.25">
      <c r="A972" s="9">
        <v>20655</v>
      </c>
      <c r="B972" s="10" t="s">
        <v>22</v>
      </c>
      <c r="C972" s="10" t="s">
        <v>1438</v>
      </c>
      <c r="D972" s="10" t="s">
        <v>1444</v>
      </c>
      <c r="E972" s="10" t="s">
        <v>1445</v>
      </c>
      <c r="F972" s="10">
        <v>34.886529000000003</v>
      </c>
      <c r="G972" s="10">
        <v>43.489977000000003</v>
      </c>
      <c r="H972" s="11">
        <v>260</v>
      </c>
      <c r="I972" s="11">
        <v>1560</v>
      </c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>
        <v>260</v>
      </c>
      <c r="Y972" s="11"/>
      <c r="Z972" s="11"/>
      <c r="AA972" s="11"/>
      <c r="AB972" s="11"/>
      <c r="AC972" s="11">
        <v>260</v>
      </c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>
        <v>260</v>
      </c>
      <c r="AO972" s="11"/>
      <c r="AP972" s="11"/>
      <c r="AQ972" s="11"/>
      <c r="AR972" s="11"/>
      <c r="AS972" s="11"/>
      <c r="AT972" s="11"/>
      <c r="AU972" s="20" t="str">
        <f>HYPERLINK("http://www.openstreetmap.org/?mlat=34.8865&amp;mlon=43.49&amp;zoom=12#map=12/34.8865/43.49","Maplink1")</f>
        <v>Maplink1</v>
      </c>
      <c r="AV972" s="20" t="str">
        <f>HYPERLINK("https://www.google.iq/maps/search/+34.8865,43.49/@34.8865,43.49,14z?hl=en","Maplink2")</f>
        <v>Maplink2</v>
      </c>
      <c r="AW972" s="20" t="str">
        <f>HYPERLINK("http://www.bing.com/maps/?lvl=14&amp;sty=h&amp;cp=34.8865~43.49&amp;sp=point.34.8865_43.49","Maplink3")</f>
        <v>Maplink3</v>
      </c>
    </row>
    <row r="973" spans="1:49" s="19" customFormat="1" x14ac:dyDescent="0.25">
      <c r="A973" s="9">
        <v>24304</v>
      </c>
      <c r="B973" s="10" t="s">
        <v>22</v>
      </c>
      <c r="C973" s="10" t="s">
        <v>1438</v>
      </c>
      <c r="D973" s="10" t="s">
        <v>1446</v>
      </c>
      <c r="E973" s="10" t="s">
        <v>1447</v>
      </c>
      <c r="F973" s="10">
        <v>35.185783000000001</v>
      </c>
      <c r="G973" s="10">
        <v>43.401864000000003</v>
      </c>
      <c r="H973" s="11">
        <v>402</v>
      </c>
      <c r="I973" s="11">
        <v>2412</v>
      </c>
      <c r="J973" s="11"/>
      <c r="K973" s="11"/>
      <c r="L973" s="11"/>
      <c r="M973" s="11"/>
      <c r="N973" s="11"/>
      <c r="O973" s="11"/>
      <c r="P973" s="11">
        <v>48</v>
      </c>
      <c r="Q973" s="11"/>
      <c r="R973" s="11">
        <v>24</v>
      </c>
      <c r="S973" s="11"/>
      <c r="T973" s="11"/>
      <c r="U973" s="11"/>
      <c r="V973" s="11"/>
      <c r="W973" s="11"/>
      <c r="X973" s="11">
        <v>330</v>
      </c>
      <c r="Y973" s="11"/>
      <c r="Z973" s="11"/>
      <c r="AA973" s="11"/>
      <c r="AB973" s="11"/>
      <c r="AC973" s="11">
        <v>402</v>
      </c>
      <c r="AD973" s="11"/>
      <c r="AE973" s="11"/>
      <c r="AF973" s="11"/>
      <c r="AG973" s="11"/>
      <c r="AH973" s="11"/>
      <c r="AI973" s="11"/>
      <c r="AJ973" s="11"/>
      <c r="AK973" s="11"/>
      <c r="AL973" s="11"/>
      <c r="AM973" s="11">
        <v>110</v>
      </c>
      <c r="AN973" s="11">
        <v>158</v>
      </c>
      <c r="AO973" s="11">
        <v>24</v>
      </c>
      <c r="AP973" s="11"/>
      <c r="AQ973" s="11"/>
      <c r="AR973" s="11">
        <v>110</v>
      </c>
      <c r="AS973" s="11"/>
      <c r="AT973" s="11"/>
      <c r="AU973" s="20" t="str">
        <f>HYPERLINK("http://www.openstreetmap.org/?mlat=35.1858&amp;mlon=43.4019&amp;zoom=12#map=12/35.1858/43.4019","Maplink1")</f>
        <v>Maplink1</v>
      </c>
      <c r="AV973" s="20" t="str">
        <f>HYPERLINK("https://www.google.iq/maps/search/+35.1858,43.4019/@35.1858,43.4019,14z?hl=en","Maplink2")</f>
        <v>Maplink2</v>
      </c>
      <c r="AW973" s="20" t="str">
        <f>HYPERLINK("http://www.bing.com/maps/?lvl=14&amp;sty=h&amp;cp=35.1858~43.4019&amp;sp=point.35.1858_43.4019","Maplink3")</f>
        <v>Maplink3</v>
      </c>
    </row>
    <row r="974" spans="1:49" s="19" customFormat="1" x14ac:dyDescent="0.25">
      <c r="A974" s="9">
        <v>24305</v>
      </c>
      <c r="B974" s="10" t="s">
        <v>22</v>
      </c>
      <c r="C974" s="10" t="s">
        <v>1438</v>
      </c>
      <c r="D974" s="10" t="s">
        <v>2178</v>
      </c>
      <c r="E974" s="10" t="s">
        <v>2179</v>
      </c>
      <c r="F974" s="10">
        <v>35.333402</v>
      </c>
      <c r="G974" s="10">
        <v>43.352386000000003</v>
      </c>
      <c r="H974" s="11">
        <v>50</v>
      </c>
      <c r="I974" s="11">
        <v>300</v>
      </c>
      <c r="J974" s="11"/>
      <c r="K974" s="11"/>
      <c r="L974" s="11"/>
      <c r="M974" s="11"/>
      <c r="N974" s="11"/>
      <c r="O974" s="11"/>
      <c r="P974" s="11"/>
      <c r="Q974" s="11"/>
      <c r="R974" s="11">
        <v>50</v>
      </c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>
        <v>50</v>
      </c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>
        <v>50</v>
      </c>
      <c r="AP974" s="11"/>
      <c r="AQ974" s="11"/>
      <c r="AR974" s="11"/>
      <c r="AS974" s="11"/>
      <c r="AT974" s="11"/>
      <c r="AU974" s="20" t="str">
        <f>HYPERLINK("http://www.openstreetmap.org/?mlat=35.3334&amp;mlon=43.3524&amp;zoom=12#map=12/35.3334/43.3524","Maplink1")</f>
        <v>Maplink1</v>
      </c>
      <c r="AV974" s="20" t="str">
        <f>HYPERLINK("https://www.google.iq/maps/search/+35.3334,43.3524/@35.3334,43.3524,14z?hl=en","Maplink2")</f>
        <v>Maplink2</v>
      </c>
      <c r="AW974" s="20" t="str">
        <f>HYPERLINK("http://www.bing.com/maps/?lvl=14&amp;sty=h&amp;cp=35.3334~43.3524&amp;sp=point.35.3334_43.3524","Maplink3")</f>
        <v>Maplink3</v>
      </c>
    </row>
    <row r="975" spans="1:49" s="19" customFormat="1" x14ac:dyDescent="0.25">
      <c r="A975" s="9">
        <v>32099</v>
      </c>
      <c r="B975" s="10" t="s">
        <v>22</v>
      </c>
      <c r="C975" s="10" t="s">
        <v>1438</v>
      </c>
      <c r="D975" s="10" t="s">
        <v>1448</v>
      </c>
      <c r="E975" s="10" t="s">
        <v>1449</v>
      </c>
      <c r="F975" s="10">
        <v>34.923888890000001</v>
      </c>
      <c r="G975" s="10">
        <v>43.498333330000001</v>
      </c>
      <c r="H975" s="11">
        <v>737</v>
      </c>
      <c r="I975" s="11">
        <v>4422</v>
      </c>
      <c r="J975" s="11"/>
      <c r="K975" s="11"/>
      <c r="L975" s="11"/>
      <c r="M975" s="11"/>
      <c r="N975" s="11"/>
      <c r="O975" s="11"/>
      <c r="P975" s="11">
        <v>58</v>
      </c>
      <c r="Q975" s="11"/>
      <c r="R975" s="11"/>
      <c r="S975" s="11"/>
      <c r="T975" s="11"/>
      <c r="U975" s="11"/>
      <c r="V975" s="11"/>
      <c r="W975" s="11"/>
      <c r="X975" s="11">
        <v>667</v>
      </c>
      <c r="Y975" s="11">
        <v>12</v>
      </c>
      <c r="Z975" s="11"/>
      <c r="AA975" s="11"/>
      <c r="AB975" s="11"/>
      <c r="AC975" s="11">
        <v>657</v>
      </c>
      <c r="AD975" s="11"/>
      <c r="AE975" s="11"/>
      <c r="AF975" s="11"/>
      <c r="AG975" s="11"/>
      <c r="AH975" s="11"/>
      <c r="AI975" s="11">
        <v>80</v>
      </c>
      <c r="AJ975" s="11"/>
      <c r="AK975" s="11"/>
      <c r="AL975" s="11"/>
      <c r="AM975" s="11">
        <v>90</v>
      </c>
      <c r="AN975" s="11">
        <v>170</v>
      </c>
      <c r="AO975" s="11">
        <v>357</v>
      </c>
      <c r="AP975" s="11"/>
      <c r="AQ975" s="11"/>
      <c r="AR975" s="11"/>
      <c r="AS975" s="11">
        <v>120</v>
      </c>
      <c r="AT975" s="11"/>
      <c r="AU975" s="20" t="str">
        <f>HYPERLINK("http://www.openstreetmap.org/?mlat=34.9239&amp;mlon=43.4983&amp;zoom=12#map=12/34.9239/43.4983","Maplink1")</f>
        <v>Maplink1</v>
      </c>
      <c r="AV975" s="20" t="str">
        <f>HYPERLINK("https://www.google.iq/maps/search/+34.9239,43.4983/@34.9239,43.4983,14z?hl=en","Maplink2")</f>
        <v>Maplink2</v>
      </c>
      <c r="AW975" s="20" t="str">
        <f>HYPERLINK("http://www.bing.com/maps/?lvl=14&amp;sty=h&amp;cp=34.9239~43.4983&amp;sp=point.34.9239_43.4983","Maplink3")</f>
        <v>Maplink3</v>
      </c>
    </row>
    <row r="976" spans="1:49" s="19" customFormat="1" x14ac:dyDescent="0.25">
      <c r="A976" s="9">
        <v>20867</v>
      </c>
      <c r="B976" s="10" t="s">
        <v>22</v>
      </c>
      <c r="C976" s="10" t="s">
        <v>1438</v>
      </c>
      <c r="D976" s="10" t="s">
        <v>1450</v>
      </c>
      <c r="E976" s="10" t="s">
        <v>1451</v>
      </c>
      <c r="F976" s="10">
        <v>34.931388890000001</v>
      </c>
      <c r="G976" s="10">
        <v>43.508333329999999</v>
      </c>
      <c r="H976" s="11">
        <v>520</v>
      </c>
      <c r="I976" s="11">
        <v>3120</v>
      </c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>
        <v>520</v>
      </c>
      <c r="Y976" s="11"/>
      <c r="Z976" s="11"/>
      <c r="AA976" s="11"/>
      <c r="AB976" s="11"/>
      <c r="AC976" s="11">
        <v>435</v>
      </c>
      <c r="AD976" s="11"/>
      <c r="AE976" s="11"/>
      <c r="AF976" s="11"/>
      <c r="AG976" s="11"/>
      <c r="AH976" s="11"/>
      <c r="AI976" s="11">
        <v>85</v>
      </c>
      <c r="AJ976" s="11"/>
      <c r="AK976" s="11"/>
      <c r="AL976" s="11"/>
      <c r="AM976" s="11">
        <v>80</v>
      </c>
      <c r="AN976" s="11">
        <v>245</v>
      </c>
      <c r="AO976" s="11">
        <v>125</v>
      </c>
      <c r="AP976" s="11"/>
      <c r="AQ976" s="11"/>
      <c r="AR976" s="11"/>
      <c r="AS976" s="11">
        <v>70</v>
      </c>
      <c r="AT976" s="11"/>
      <c r="AU976" s="20" t="str">
        <f>HYPERLINK("http://www.openstreetmap.org/?mlat=34.9314&amp;mlon=43.5083&amp;zoom=12#map=12/34.9314/43.5083","Maplink1")</f>
        <v>Maplink1</v>
      </c>
      <c r="AV976" s="20" t="str">
        <f>HYPERLINK("https://www.google.iq/maps/search/+34.9314,43.5083/@34.9314,43.5083,14z?hl=en","Maplink2")</f>
        <v>Maplink2</v>
      </c>
      <c r="AW976" s="20" t="str">
        <f>HYPERLINK("http://www.bing.com/maps/?lvl=14&amp;sty=h&amp;cp=34.9314~43.5083&amp;sp=point.34.9314_43.5083","Maplink3")</f>
        <v>Maplink3</v>
      </c>
    </row>
    <row r="977" spans="1:49" s="19" customFormat="1" x14ac:dyDescent="0.25">
      <c r="A977" s="9">
        <v>23435</v>
      </c>
      <c r="B977" s="10" t="s">
        <v>22</v>
      </c>
      <c r="C977" s="10" t="s">
        <v>1438</v>
      </c>
      <c r="D977" s="10" t="s">
        <v>1452</v>
      </c>
      <c r="E977" s="10" t="s">
        <v>126</v>
      </c>
      <c r="F977" s="10">
        <v>35.261200000000002</v>
      </c>
      <c r="G977" s="10">
        <v>43.397525000000002</v>
      </c>
      <c r="H977" s="11">
        <v>1040</v>
      </c>
      <c r="I977" s="11">
        <v>6240</v>
      </c>
      <c r="J977" s="11"/>
      <c r="K977" s="11"/>
      <c r="L977" s="11"/>
      <c r="M977" s="11"/>
      <c r="N977" s="11"/>
      <c r="O977" s="11"/>
      <c r="P977" s="11">
        <v>265</v>
      </c>
      <c r="Q977" s="11"/>
      <c r="R977" s="11">
        <v>305</v>
      </c>
      <c r="S977" s="11"/>
      <c r="T977" s="11"/>
      <c r="U977" s="11"/>
      <c r="V977" s="11"/>
      <c r="W977" s="11"/>
      <c r="X977" s="11">
        <v>470</v>
      </c>
      <c r="Y977" s="11"/>
      <c r="Z977" s="11"/>
      <c r="AA977" s="11"/>
      <c r="AB977" s="11"/>
      <c r="AC977" s="11">
        <v>1040</v>
      </c>
      <c r="AD977" s="11"/>
      <c r="AE977" s="11"/>
      <c r="AF977" s="11"/>
      <c r="AG977" s="11"/>
      <c r="AH977" s="11"/>
      <c r="AI977" s="11"/>
      <c r="AJ977" s="11"/>
      <c r="AK977" s="11"/>
      <c r="AL977" s="11"/>
      <c r="AM977" s="11">
        <v>32</v>
      </c>
      <c r="AN977" s="11">
        <v>540</v>
      </c>
      <c r="AO977" s="11"/>
      <c r="AP977" s="11"/>
      <c r="AQ977" s="11"/>
      <c r="AR977" s="11">
        <v>468</v>
      </c>
      <c r="AS977" s="11"/>
      <c r="AT977" s="11"/>
      <c r="AU977" s="20" t="str">
        <f>HYPERLINK("http://www.openstreetmap.org/?mlat=35.2612&amp;mlon=43.3975&amp;zoom=12#map=12/35.2612/43.3975","Maplink1")</f>
        <v>Maplink1</v>
      </c>
      <c r="AV977" s="20" t="str">
        <f>HYPERLINK("https://www.google.iq/maps/search/+35.2612,43.3975/@35.2612,43.3975,14z?hl=en","Maplink2")</f>
        <v>Maplink2</v>
      </c>
      <c r="AW977" s="20" t="str">
        <f>HYPERLINK("http://www.bing.com/maps/?lvl=14&amp;sty=h&amp;cp=35.2612~43.3975&amp;sp=point.35.2612_43.3975","Maplink3")</f>
        <v>Maplink3</v>
      </c>
    </row>
    <row r="978" spans="1:49" s="19" customFormat="1" x14ac:dyDescent="0.25">
      <c r="A978" s="9">
        <v>25706</v>
      </c>
      <c r="B978" s="10" t="s">
        <v>22</v>
      </c>
      <c r="C978" s="10" t="s">
        <v>1438</v>
      </c>
      <c r="D978" s="10" t="s">
        <v>2030</v>
      </c>
      <c r="E978" s="10" t="s">
        <v>2031</v>
      </c>
      <c r="F978" s="10">
        <v>34.820187300000001</v>
      </c>
      <c r="G978" s="10">
        <v>43.5295816</v>
      </c>
      <c r="H978" s="11">
        <v>1276</v>
      </c>
      <c r="I978" s="11">
        <v>7656</v>
      </c>
      <c r="J978" s="11"/>
      <c r="K978" s="11"/>
      <c r="L978" s="11">
        <v>2</v>
      </c>
      <c r="M978" s="11"/>
      <c r="N978" s="11">
        <v>3</v>
      </c>
      <c r="O978" s="11"/>
      <c r="P978" s="11">
        <v>931</v>
      </c>
      <c r="Q978" s="11"/>
      <c r="R978" s="11">
        <v>50</v>
      </c>
      <c r="S978" s="11"/>
      <c r="T978" s="11"/>
      <c r="U978" s="11"/>
      <c r="V978" s="11"/>
      <c r="W978" s="11"/>
      <c r="X978" s="11">
        <v>140</v>
      </c>
      <c r="Y978" s="11">
        <v>150</v>
      </c>
      <c r="Z978" s="11"/>
      <c r="AA978" s="11"/>
      <c r="AB978" s="11"/>
      <c r="AC978" s="11">
        <v>1150</v>
      </c>
      <c r="AD978" s="11">
        <v>30</v>
      </c>
      <c r="AE978" s="11"/>
      <c r="AF978" s="11"/>
      <c r="AG978" s="11"/>
      <c r="AH978" s="11"/>
      <c r="AI978" s="11">
        <v>96</v>
      </c>
      <c r="AJ978" s="11"/>
      <c r="AK978" s="11"/>
      <c r="AL978" s="11"/>
      <c r="AM978" s="11">
        <v>15</v>
      </c>
      <c r="AN978" s="11">
        <v>1150</v>
      </c>
      <c r="AO978" s="11">
        <v>111</v>
      </c>
      <c r="AP978" s="11"/>
      <c r="AQ978" s="11"/>
      <c r="AR978" s="11"/>
      <c r="AS978" s="11"/>
      <c r="AT978" s="11"/>
      <c r="AU978" s="20" t="str">
        <f>HYPERLINK("http://www.openstreetmap.org/?mlat=34.8202&amp;mlon=43.5296&amp;zoom=12#map=12/34.8202/43.5296","Maplink1")</f>
        <v>Maplink1</v>
      </c>
      <c r="AV978" s="20" t="str">
        <f>HYPERLINK("https://www.google.iq/maps/search/+34.8202,43.5296/@34.8202,43.5296,14z?hl=en","Maplink2")</f>
        <v>Maplink2</v>
      </c>
      <c r="AW978" s="20" t="str">
        <f>HYPERLINK("http://www.bing.com/maps/?lvl=14&amp;sty=h&amp;cp=34.8202~43.5296&amp;sp=point.34.8202_43.5296","Maplink3")</f>
        <v>Maplink3</v>
      </c>
    </row>
    <row r="979" spans="1:49" s="19" customFormat="1" x14ac:dyDescent="0.25">
      <c r="A979" s="9">
        <v>22968</v>
      </c>
      <c r="B979" s="10" t="s">
        <v>22</v>
      </c>
      <c r="C979" s="10" t="s">
        <v>1438</v>
      </c>
      <c r="D979" s="10" t="s">
        <v>2180</v>
      </c>
      <c r="E979" s="10" t="s">
        <v>1664</v>
      </c>
      <c r="F979" s="10">
        <v>35.119601000000003</v>
      </c>
      <c r="G979" s="10">
        <v>43.466464999999999</v>
      </c>
      <c r="H979" s="11">
        <v>20</v>
      </c>
      <c r="I979" s="11">
        <v>120</v>
      </c>
      <c r="J979" s="11"/>
      <c r="K979" s="11"/>
      <c r="L979" s="11"/>
      <c r="M979" s="11"/>
      <c r="N979" s="11"/>
      <c r="O979" s="11"/>
      <c r="P979" s="11"/>
      <c r="Q979" s="11"/>
      <c r="R979" s="11">
        <v>20</v>
      </c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>
        <v>20</v>
      </c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>
        <v>20</v>
      </c>
      <c r="AP979" s="11"/>
      <c r="AQ979" s="11"/>
      <c r="AR979" s="11"/>
      <c r="AS979" s="11"/>
      <c r="AT979" s="11"/>
      <c r="AU979" s="20" t="str">
        <f>HYPERLINK("http://www.openstreetmap.org/?mlat=35.1196&amp;mlon=43.4665&amp;zoom=12#map=12/35.1196/43.4665","Maplink1")</f>
        <v>Maplink1</v>
      </c>
      <c r="AV979" s="20" t="str">
        <f>HYPERLINK("https://www.google.iq/maps/search/+35.1196,43.4665/@35.1196,43.4665,14z?hl=en","Maplink2")</f>
        <v>Maplink2</v>
      </c>
      <c r="AW979" s="20" t="str">
        <f>HYPERLINK("http://www.bing.com/maps/?lvl=14&amp;sty=h&amp;cp=35.1196~43.4665&amp;sp=point.35.1196_43.4665","Maplink3")</f>
        <v>Maplink3</v>
      </c>
    </row>
    <row r="980" spans="1:49" s="19" customFormat="1" x14ac:dyDescent="0.25">
      <c r="A980" s="9">
        <v>32100</v>
      </c>
      <c r="B980" s="10" t="s">
        <v>22</v>
      </c>
      <c r="C980" s="10" t="s">
        <v>1438</v>
      </c>
      <c r="D980" s="10" t="s">
        <v>1453</v>
      </c>
      <c r="E980" s="10" t="s">
        <v>1454</v>
      </c>
      <c r="F980" s="10">
        <v>34.902500000000003</v>
      </c>
      <c r="G980" s="10">
        <v>43.486388890000001</v>
      </c>
      <c r="H980" s="11">
        <v>102</v>
      </c>
      <c r="I980" s="11">
        <v>612</v>
      </c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>
        <v>102</v>
      </c>
      <c r="Y980" s="11"/>
      <c r="Z980" s="11"/>
      <c r="AA980" s="11"/>
      <c r="AB980" s="11"/>
      <c r="AC980" s="11">
        <v>102</v>
      </c>
      <c r="AD980" s="11"/>
      <c r="AE980" s="11"/>
      <c r="AF980" s="11"/>
      <c r="AG980" s="11"/>
      <c r="AH980" s="11"/>
      <c r="AI980" s="11"/>
      <c r="AJ980" s="11"/>
      <c r="AK980" s="11"/>
      <c r="AL980" s="11"/>
      <c r="AM980" s="11">
        <v>80</v>
      </c>
      <c r="AN980" s="11">
        <v>22</v>
      </c>
      <c r="AO980" s="11"/>
      <c r="AP980" s="11"/>
      <c r="AQ980" s="11"/>
      <c r="AR980" s="11"/>
      <c r="AS980" s="11"/>
      <c r="AT980" s="11"/>
      <c r="AU980" s="20" t="str">
        <f>HYPERLINK("http://www.openstreetmap.org/?mlat=34.9025&amp;mlon=43.4864&amp;zoom=12#map=12/34.9025/43.4864","Maplink1")</f>
        <v>Maplink1</v>
      </c>
      <c r="AV980" s="20" t="str">
        <f>HYPERLINK("https://www.google.iq/maps/search/+34.9025,43.4864/@34.9025,43.4864,14z?hl=en","Maplink2")</f>
        <v>Maplink2</v>
      </c>
      <c r="AW980" s="20" t="str">
        <f>HYPERLINK("http://www.bing.com/maps/?lvl=14&amp;sty=h&amp;cp=34.9025~43.4864&amp;sp=point.34.9025_43.4864","Maplink3")</f>
        <v>Maplink3</v>
      </c>
    </row>
    <row r="981" spans="1:49" s="19" customFormat="1" x14ac:dyDescent="0.25">
      <c r="A981" s="9">
        <v>20401</v>
      </c>
      <c r="B981" s="10" t="s">
        <v>22</v>
      </c>
      <c r="C981" s="10" t="s">
        <v>1438</v>
      </c>
      <c r="D981" s="10" t="s">
        <v>2181</v>
      </c>
      <c r="E981" s="10" t="s">
        <v>2182</v>
      </c>
      <c r="F981" s="10">
        <v>34.929166670000001</v>
      </c>
      <c r="G981" s="10">
        <v>43.493055560000002</v>
      </c>
      <c r="H981" s="11">
        <v>35</v>
      </c>
      <c r="I981" s="11">
        <v>210</v>
      </c>
      <c r="J981" s="11"/>
      <c r="K981" s="11"/>
      <c r="L981" s="11"/>
      <c r="M981" s="11"/>
      <c r="N981" s="11"/>
      <c r="O981" s="11"/>
      <c r="P981" s="11"/>
      <c r="Q981" s="11"/>
      <c r="R981" s="11">
        <v>35</v>
      </c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>
        <v>20</v>
      </c>
      <c r="AD981" s="11"/>
      <c r="AE981" s="11"/>
      <c r="AF981" s="11"/>
      <c r="AG981" s="11"/>
      <c r="AH981" s="11"/>
      <c r="AI981" s="11">
        <v>15</v>
      </c>
      <c r="AJ981" s="11"/>
      <c r="AK981" s="11"/>
      <c r="AL981" s="11"/>
      <c r="AM981" s="11"/>
      <c r="AN981" s="11">
        <v>10</v>
      </c>
      <c r="AO981" s="11">
        <v>25</v>
      </c>
      <c r="AP981" s="11"/>
      <c r="AQ981" s="11"/>
      <c r="AR981" s="11"/>
      <c r="AS981" s="11"/>
      <c r="AT981" s="11"/>
      <c r="AU981" s="20" t="str">
        <f>HYPERLINK("http://www.openstreetmap.org/?mlat=34.9292&amp;mlon=43.4931&amp;zoom=12#map=12/34.9292/43.4931","Maplink1")</f>
        <v>Maplink1</v>
      </c>
      <c r="AV981" s="20" t="str">
        <f>HYPERLINK("https://www.google.iq/maps/search/+34.9292,43.4931/@34.9292,43.4931,14z?hl=en","Maplink2")</f>
        <v>Maplink2</v>
      </c>
      <c r="AW981" s="20" t="str">
        <f>HYPERLINK("http://www.bing.com/maps/?lvl=14&amp;sty=h&amp;cp=34.9292~43.4931&amp;sp=point.34.9292_43.4931","Maplink3")</f>
        <v>Maplink3</v>
      </c>
    </row>
    <row r="982" spans="1:49" s="19" customFormat="1" x14ac:dyDescent="0.25">
      <c r="A982" s="9">
        <v>22813</v>
      </c>
      <c r="B982" s="10" t="s">
        <v>22</v>
      </c>
      <c r="C982" s="10" t="s">
        <v>1438</v>
      </c>
      <c r="D982" s="10" t="s">
        <v>1455</v>
      </c>
      <c r="E982" s="10" t="s">
        <v>2032</v>
      </c>
      <c r="F982" s="10">
        <v>34.872193000000003</v>
      </c>
      <c r="G982" s="10">
        <v>43.520938000000001</v>
      </c>
      <c r="H982" s="11">
        <v>650</v>
      </c>
      <c r="I982" s="11">
        <v>3900</v>
      </c>
      <c r="J982" s="11"/>
      <c r="K982" s="11"/>
      <c r="L982" s="11"/>
      <c r="M982" s="11"/>
      <c r="N982" s="11"/>
      <c r="O982" s="11"/>
      <c r="P982" s="11">
        <v>150</v>
      </c>
      <c r="Q982" s="11"/>
      <c r="R982" s="11">
        <v>300</v>
      </c>
      <c r="S982" s="11"/>
      <c r="T982" s="11"/>
      <c r="U982" s="11"/>
      <c r="V982" s="11"/>
      <c r="W982" s="11"/>
      <c r="X982" s="11">
        <v>200</v>
      </c>
      <c r="Y982" s="11"/>
      <c r="Z982" s="11"/>
      <c r="AA982" s="11"/>
      <c r="AB982" s="11"/>
      <c r="AC982" s="11">
        <v>400</v>
      </c>
      <c r="AD982" s="11">
        <v>75</v>
      </c>
      <c r="AE982" s="11"/>
      <c r="AF982" s="11"/>
      <c r="AG982" s="11"/>
      <c r="AH982" s="11"/>
      <c r="AI982" s="11">
        <v>175</v>
      </c>
      <c r="AJ982" s="11"/>
      <c r="AK982" s="11"/>
      <c r="AL982" s="11"/>
      <c r="AM982" s="11">
        <v>350</v>
      </c>
      <c r="AN982" s="11">
        <v>300</v>
      </c>
      <c r="AO982" s="11"/>
      <c r="AP982" s="11"/>
      <c r="AQ982" s="11"/>
      <c r="AR982" s="11"/>
      <c r="AS982" s="11"/>
      <c r="AT982" s="11"/>
      <c r="AU982" s="20" t="str">
        <f>HYPERLINK("http://www.openstreetmap.org/?mlat=34.8722&amp;mlon=43.5209&amp;zoom=12#map=12/34.8722/43.5209","Maplink1")</f>
        <v>Maplink1</v>
      </c>
      <c r="AV982" s="20" t="str">
        <f>HYPERLINK("https://www.google.iq/maps/search/+34.8722,43.5209/@34.8722,43.5209,14z?hl=en","Maplink2")</f>
        <v>Maplink2</v>
      </c>
      <c r="AW982" s="20" t="str">
        <f>HYPERLINK("http://www.bing.com/maps/?lvl=14&amp;sty=h&amp;cp=34.8722~43.5209&amp;sp=point.34.8722_43.5209","Maplink3")</f>
        <v>Maplink3</v>
      </c>
    </row>
    <row r="983" spans="1:49" s="19" customFormat="1" x14ac:dyDescent="0.25">
      <c r="A983" s="9">
        <v>25742</v>
      </c>
      <c r="B983" s="10" t="s">
        <v>22</v>
      </c>
      <c r="C983" s="10" t="s">
        <v>1456</v>
      </c>
      <c r="D983" s="10" t="s">
        <v>1457</v>
      </c>
      <c r="E983" s="10" t="s">
        <v>1458</v>
      </c>
      <c r="F983" s="10">
        <v>34.032523079999997</v>
      </c>
      <c r="G983" s="10">
        <v>44.231025440000003</v>
      </c>
      <c r="H983" s="11">
        <v>375</v>
      </c>
      <c r="I983" s="11">
        <v>2250</v>
      </c>
      <c r="J983" s="11"/>
      <c r="K983" s="11"/>
      <c r="L983" s="11">
        <v>375</v>
      </c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>
        <v>375</v>
      </c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>
        <v>175</v>
      </c>
      <c r="AP983" s="11">
        <v>200</v>
      </c>
      <c r="AQ983" s="11"/>
      <c r="AR983" s="11"/>
      <c r="AS983" s="11"/>
      <c r="AT983" s="11"/>
      <c r="AU983" s="20" t="str">
        <f>HYPERLINK("http://www.openstreetmap.org/?mlat=34.0325&amp;mlon=44.231&amp;zoom=12#map=12/34.0325/44.231","Maplink1")</f>
        <v>Maplink1</v>
      </c>
      <c r="AV983" s="20" t="str">
        <f>HYPERLINK("https://www.google.iq/maps/search/+34.0325,44.231/@34.0325,44.231,14z?hl=en","Maplink2")</f>
        <v>Maplink2</v>
      </c>
      <c r="AW983" s="20" t="str">
        <f>HYPERLINK("http://www.bing.com/maps/?lvl=14&amp;sty=h&amp;cp=34.0325~44.231&amp;sp=point.34.0325_44.231","Maplink3")</f>
        <v>Maplink3</v>
      </c>
    </row>
    <row r="984" spans="1:49" s="19" customFormat="1" x14ac:dyDescent="0.25">
      <c r="A984" s="9">
        <v>20770</v>
      </c>
      <c r="B984" s="10" t="s">
        <v>22</v>
      </c>
      <c r="C984" s="10" t="s">
        <v>1456</v>
      </c>
      <c r="D984" s="10" t="s">
        <v>1459</v>
      </c>
      <c r="E984" s="10" t="s">
        <v>1460</v>
      </c>
      <c r="F984" s="10">
        <v>34.046609420000003</v>
      </c>
      <c r="G984" s="10">
        <v>44.219951469999998</v>
      </c>
      <c r="H984" s="11">
        <v>400</v>
      </c>
      <c r="I984" s="11">
        <v>2400</v>
      </c>
      <c r="J984" s="11"/>
      <c r="K984" s="11"/>
      <c r="L984" s="11">
        <v>300</v>
      </c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>
        <v>100</v>
      </c>
      <c r="Y984" s="11"/>
      <c r="Z984" s="11"/>
      <c r="AA984" s="11"/>
      <c r="AB984" s="11"/>
      <c r="AC984" s="11">
        <v>400</v>
      </c>
      <c r="AD984" s="11"/>
      <c r="AE984" s="11"/>
      <c r="AF984" s="11"/>
      <c r="AG984" s="11"/>
      <c r="AH984" s="11"/>
      <c r="AI984" s="11"/>
      <c r="AJ984" s="11"/>
      <c r="AK984" s="11"/>
      <c r="AL984" s="11"/>
      <c r="AM984" s="11">
        <v>300</v>
      </c>
      <c r="AN984" s="11">
        <v>75</v>
      </c>
      <c r="AO984" s="11">
        <v>25</v>
      </c>
      <c r="AP984" s="11"/>
      <c r="AQ984" s="11"/>
      <c r="AR984" s="11"/>
      <c r="AS984" s="11"/>
      <c r="AT984" s="11"/>
      <c r="AU984" s="20" t="str">
        <f>HYPERLINK("http://www.openstreetmap.org/?mlat=34.0466&amp;mlon=44.22&amp;zoom=12#map=12/34.0466/44.22","Maplink1")</f>
        <v>Maplink1</v>
      </c>
      <c r="AV984" s="20" t="str">
        <f>HYPERLINK("https://www.google.iq/maps/search/+34.0466,44.22/@34.0466,44.22,14z?hl=en","Maplink2")</f>
        <v>Maplink2</v>
      </c>
      <c r="AW984" s="20" t="str">
        <f>HYPERLINK("http://www.bing.com/maps/?lvl=14&amp;sty=h&amp;cp=34.0466~44.22&amp;sp=point.34.0466_44.22","Maplink3")</f>
        <v>Maplink3</v>
      </c>
    </row>
    <row r="985" spans="1:49" s="19" customFormat="1" x14ac:dyDescent="0.25">
      <c r="A985" s="9">
        <v>20921</v>
      </c>
      <c r="B985" s="10" t="s">
        <v>22</v>
      </c>
      <c r="C985" s="10" t="s">
        <v>1456</v>
      </c>
      <c r="D985" s="10" t="s">
        <v>2033</v>
      </c>
      <c r="E985" s="10" t="s">
        <v>1461</v>
      </c>
      <c r="F985" s="10">
        <v>34.023355899999999</v>
      </c>
      <c r="G985" s="10">
        <v>44.212505</v>
      </c>
      <c r="H985" s="11">
        <v>525</v>
      </c>
      <c r="I985" s="11">
        <v>3150</v>
      </c>
      <c r="J985" s="11"/>
      <c r="K985" s="11"/>
      <c r="L985" s="11">
        <v>162</v>
      </c>
      <c r="M985" s="11"/>
      <c r="N985" s="11"/>
      <c r="O985" s="11"/>
      <c r="P985" s="11">
        <v>80</v>
      </c>
      <c r="Q985" s="11"/>
      <c r="R985" s="11">
        <v>170</v>
      </c>
      <c r="S985" s="11"/>
      <c r="T985" s="11"/>
      <c r="U985" s="11"/>
      <c r="V985" s="11"/>
      <c r="W985" s="11"/>
      <c r="X985" s="11">
        <v>113</v>
      </c>
      <c r="Y985" s="11"/>
      <c r="Z985" s="11"/>
      <c r="AA985" s="11"/>
      <c r="AB985" s="11"/>
      <c r="AC985" s="11">
        <v>505</v>
      </c>
      <c r="AD985" s="11">
        <v>20</v>
      </c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>
        <v>325</v>
      </c>
      <c r="AP985" s="11">
        <v>200</v>
      </c>
      <c r="AQ985" s="11"/>
      <c r="AR985" s="11"/>
      <c r="AS985" s="11"/>
      <c r="AT985" s="11"/>
      <c r="AU985" s="20" t="str">
        <f>HYPERLINK("http://www.openstreetmap.org/?mlat=34.0234&amp;mlon=44.2125&amp;zoom=12#map=12/34.0234/44.2125","Maplink1")</f>
        <v>Maplink1</v>
      </c>
      <c r="AV985" s="20" t="str">
        <f>HYPERLINK("https://www.google.iq/maps/search/+34.0234,44.2125/@34.0234,44.2125,14z?hl=en","Maplink2")</f>
        <v>Maplink2</v>
      </c>
      <c r="AW985" s="20" t="str">
        <f>HYPERLINK("http://www.bing.com/maps/?lvl=14&amp;sty=h&amp;cp=34.0234~44.2125&amp;sp=point.34.0234_44.2125","Maplink3")</f>
        <v>Maplink3</v>
      </c>
    </row>
    <row r="986" spans="1:49" s="19" customFormat="1" x14ac:dyDescent="0.25">
      <c r="A986" s="9">
        <v>21484</v>
      </c>
      <c r="B986" s="10" t="s">
        <v>22</v>
      </c>
      <c r="C986" s="10" t="s">
        <v>1456</v>
      </c>
      <c r="D986" s="10" t="s">
        <v>1462</v>
      </c>
      <c r="E986" s="10" t="s">
        <v>1463</v>
      </c>
      <c r="F986" s="10">
        <v>34.004272999999998</v>
      </c>
      <c r="G986" s="10">
        <v>44.016961000000002</v>
      </c>
      <c r="H986" s="11">
        <v>143</v>
      </c>
      <c r="I986" s="11">
        <v>858</v>
      </c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>
        <v>143</v>
      </c>
      <c r="Y986" s="11"/>
      <c r="Z986" s="11"/>
      <c r="AA986" s="11"/>
      <c r="AB986" s="11"/>
      <c r="AC986" s="11">
        <v>143</v>
      </c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>
        <v>143</v>
      </c>
      <c r="AQ986" s="11"/>
      <c r="AR986" s="11"/>
      <c r="AS986" s="11"/>
      <c r="AT986" s="11"/>
      <c r="AU986" s="20" t="str">
        <f>HYPERLINK("http://www.openstreetmap.org/?mlat=34.0043&amp;mlon=44.017&amp;zoom=12#map=12/34.0043/44.017","Maplink1")</f>
        <v>Maplink1</v>
      </c>
      <c r="AV986" s="20" t="str">
        <f>HYPERLINK("https://www.google.iq/maps/search/+34.0043,44.017/@34.0043,44.017,14z?hl=en","Maplink2")</f>
        <v>Maplink2</v>
      </c>
      <c r="AW986" s="20" t="str">
        <f>HYPERLINK("http://www.bing.com/maps/?lvl=14&amp;sty=h&amp;cp=34.0043~44.017&amp;sp=point.34.0043_44.017","Maplink3")</f>
        <v>Maplink3</v>
      </c>
    </row>
    <row r="987" spans="1:49" s="19" customFormat="1" x14ac:dyDescent="0.25">
      <c r="A987" s="9">
        <v>20767</v>
      </c>
      <c r="B987" s="10" t="s">
        <v>22</v>
      </c>
      <c r="C987" s="10" t="s">
        <v>1456</v>
      </c>
      <c r="D987" s="10" t="s">
        <v>1464</v>
      </c>
      <c r="E987" s="10" t="s">
        <v>1465</v>
      </c>
      <c r="F987" s="10">
        <v>34.058075340000002</v>
      </c>
      <c r="G987" s="10">
        <v>44.217821950000001</v>
      </c>
      <c r="H987" s="11">
        <v>513</v>
      </c>
      <c r="I987" s="11">
        <v>3078</v>
      </c>
      <c r="J987" s="11"/>
      <c r="K987" s="11"/>
      <c r="L987" s="11"/>
      <c r="M987" s="11"/>
      <c r="N987" s="11"/>
      <c r="O987" s="11"/>
      <c r="P987" s="11"/>
      <c r="Q987" s="11"/>
      <c r="R987" s="11">
        <v>313</v>
      </c>
      <c r="S987" s="11"/>
      <c r="T987" s="11"/>
      <c r="U987" s="11"/>
      <c r="V987" s="11"/>
      <c r="W987" s="11"/>
      <c r="X987" s="11">
        <v>200</v>
      </c>
      <c r="Y987" s="11"/>
      <c r="Z987" s="11"/>
      <c r="AA987" s="11"/>
      <c r="AB987" s="11"/>
      <c r="AC987" s="11">
        <v>513</v>
      </c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>
        <v>150</v>
      </c>
      <c r="AO987" s="11">
        <v>200</v>
      </c>
      <c r="AP987" s="11">
        <v>163</v>
      </c>
      <c r="AQ987" s="11"/>
      <c r="AR987" s="11"/>
      <c r="AS987" s="11"/>
      <c r="AT987" s="11"/>
      <c r="AU987" s="20" t="str">
        <f>HYPERLINK("http://www.openstreetmap.org/?mlat=34.0581&amp;mlon=44.2178&amp;zoom=12#map=12/34.0581/44.2178","Maplink1")</f>
        <v>Maplink1</v>
      </c>
      <c r="AV987" s="20" t="str">
        <f>HYPERLINK("https://www.google.iq/maps/search/+34.0581,44.2178/@34.0581,44.2178,14z?hl=en","Maplink2")</f>
        <v>Maplink2</v>
      </c>
      <c r="AW987" s="20" t="str">
        <f>HYPERLINK("http://www.bing.com/maps/?lvl=14&amp;sty=h&amp;cp=34.0581~44.2178&amp;sp=point.34.0581_44.2178","Maplink3")</f>
        <v>Maplink3</v>
      </c>
    </row>
    <row r="988" spans="1:49" s="19" customFormat="1" x14ac:dyDescent="0.25">
      <c r="A988" s="9">
        <v>20773</v>
      </c>
      <c r="B988" s="10" t="s">
        <v>22</v>
      </c>
      <c r="C988" s="10" t="s">
        <v>1456</v>
      </c>
      <c r="D988" s="10" t="s">
        <v>1466</v>
      </c>
      <c r="E988" s="10" t="s">
        <v>1467</v>
      </c>
      <c r="F988" s="10">
        <v>34.026709490000002</v>
      </c>
      <c r="G988" s="10">
        <v>44.281843780000003</v>
      </c>
      <c r="H988" s="11">
        <v>487</v>
      </c>
      <c r="I988" s="11">
        <v>2922</v>
      </c>
      <c r="J988" s="11"/>
      <c r="K988" s="11"/>
      <c r="L988" s="11"/>
      <c r="M988" s="11"/>
      <c r="N988" s="11"/>
      <c r="O988" s="11"/>
      <c r="P988" s="11"/>
      <c r="Q988" s="11"/>
      <c r="R988" s="11">
        <v>187</v>
      </c>
      <c r="S988" s="11"/>
      <c r="T988" s="11"/>
      <c r="U988" s="11"/>
      <c r="V988" s="11"/>
      <c r="W988" s="11"/>
      <c r="X988" s="11">
        <v>300</v>
      </c>
      <c r="Y988" s="11"/>
      <c r="Z988" s="11"/>
      <c r="AA988" s="11"/>
      <c r="AB988" s="11"/>
      <c r="AC988" s="11">
        <v>487</v>
      </c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>
        <v>487</v>
      </c>
      <c r="AO988" s="11"/>
      <c r="AP988" s="11"/>
      <c r="AQ988" s="11"/>
      <c r="AR988" s="11"/>
      <c r="AS988" s="11"/>
      <c r="AT988" s="11"/>
      <c r="AU988" s="20" t="str">
        <f>HYPERLINK("http://www.openstreetmap.org/?mlat=34.0267&amp;mlon=44.2818&amp;zoom=12#map=12/34.0267/44.2818","Maplink1")</f>
        <v>Maplink1</v>
      </c>
      <c r="AV988" s="20" t="str">
        <f>HYPERLINK("https://www.google.iq/maps/search/+34.0267,44.2818/@34.0267,44.2818,14z?hl=en","Maplink2")</f>
        <v>Maplink2</v>
      </c>
      <c r="AW988" s="20" t="str">
        <f>HYPERLINK("http://www.bing.com/maps/?lvl=14&amp;sty=h&amp;cp=34.0267~44.2818&amp;sp=point.34.0267_44.2818","Maplink3")</f>
        <v>Maplink3</v>
      </c>
    </row>
    <row r="989" spans="1:49" s="19" customFormat="1" x14ac:dyDescent="0.25">
      <c r="A989" s="9">
        <v>29565</v>
      </c>
      <c r="B989" s="10" t="s">
        <v>22</v>
      </c>
      <c r="C989" s="10" t="s">
        <v>1456</v>
      </c>
      <c r="D989" s="10" t="s">
        <v>1468</v>
      </c>
      <c r="E989" s="10" t="s">
        <v>1469</v>
      </c>
      <c r="F989" s="10">
        <v>34.028011999999997</v>
      </c>
      <c r="G989" s="10">
        <v>44.242781999999998</v>
      </c>
      <c r="H989" s="11">
        <v>3286</v>
      </c>
      <c r="I989" s="11">
        <v>19716</v>
      </c>
      <c r="J989" s="11"/>
      <c r="K989" s="11"/>
      <c r="L989" s="11">
        <v>1150</v>
      </c>
      <c r="M989" s="11"/>
      <c r="N989" s="11"/>
      <c r="O989" s="11"/>
      <c r="P989" s="11">
        <v>50</v>
      </c>
      <c r="Q989" s="11"/>
      <c r="R989" s="11">
        <v>200</v>
      </c>
      <c r="S989" s="11"/>
      <c r="T989" s="11"/>
      <c r="U989" s="11"/>
      <c r="V989" s="11"/>
      <c r="W989" s="11"/>
      <c r="X989" s="11">
        <v>1886</v>
      </c>
      <c r="Y989" s="11"/>
      <c r="Z989" s="11"/>
      <c r="AA989" s="11"/>
      <c r="AB989" s="11"/>
      <c r="AC989" s="11">
        <v>3203</v>
      </c>
      <c r="AD989" s="11">
        <v>83</v>
      </c>
      <c r="AE989" s="11"/>
      <c r="AF989" s="11"/>
      <c r="AG989" s="11"/>
      <c r="AH989" s="11"/>
      <c r="AI989" s="11"/>
      <c r="AJ989" s="11"/>
      <c r="AK989" s="11"/>
      <c r="AL989" s="11"/>
      <c r="AM989" s="11"/>
      <c r="AN989" s="11">
        <v>450</v>
      </c>
      <c r="AO989" s="11">
        <v>400</v>
      </c>
      <c r="AP989" s="11">
        <v>2436</v>
      </c>
      <c r="AQ989" s="11"/>
      <c r="AR989" s="11"/>
      <c r="AS989" s="11"/>
      <c r="AT989" s="11"/>
      <c r="AU989" s="20" t="str">
        <f>HYPERLINK("http://www.openstreetmap.org/?mlat=34.028&amp;mlon=44.2428&amp;zoom=12#map=12/34.028/44.2428","Maplink1")</f>
        <v>Maplink1</v>
      </c>
      <c r="AV989" s="20" t="str">
        <f>HYPERLINK("https://www.google.iq/maps/search/+34.028,44.2428/@34.028,44.2428,14z?hl=en","Maplink2")</f>
        <v>Maplink2</v>
      </c>
      <c r="AW989" s="20" t="str">
        <f>HYPERLINK("http://www.bing.com/maps/?lvl=14&amp;sty=h&amp;cp=34.028~44.2428&amp;sp=point.34.028_44.2428","Maplink3")</f>
        <v>Maplink3</v>
      </c>
    </row>
    <row r="990" spans="1:49" s="19" customFormat="1" x14ac:dyDescent="0.25">
      <c r="A990" s="9">
        <v>23781</v>
      </c>
      <c r="B990" s="10" t="s">
        <v>22</v>
      </c>
      <c r="C990" s="10" t="s">
        <v>1470</v>
      </c>
      <c r="D990" s="10" t="s">
        <v>1471</v>
      </c>
      <c r="E990" s="10" t="s">
        <v>2034</v>
      </c>
      <c r="F990" s="10">
        <v>34.078364241899997</v>
      </c>
      <c r="G990" s="10">
        <v>44.054400203699998</v>
      </c>
      <c r="H990" s="11">
        <v>312</v>
      </c>
      <c r="I990" s="11">
        <v>1872</v>
      </c>
      <c r="J990" s="11"/>
      <c r="K990" s="11"/>
      <c r="L990" s="11"/>
      <c r="M990" s="11"/>
      <c r="N990" s="11"/>
      <c r="O990" s="11"/>
      <c r="P990" s="11">
        <v>11</v>
      </c>
      <c r="Q990" s="11"/>
      <c r="R990" s="11">
        <v>18</v>
      </c>
      <c r="S990" s="11"/>
      <c r="T990" s="11"/>
      <c r="U990" s="11"/>
      <c r="V990" s="11"/>
      <c r="W990" s="11"/>
      <c r="X990" s="11">
        <v>276</v>
      </c>
      <c r="Y990" s="11">
        <v>7</v>
      </c>
      <c r="Z990" s="11"/>
      <c r="AA990" s="11"/>
      <c r="AB990" s="11"/>
      <c r="AC990" s="11">
        <v>296</v>
      </c>
      <c r="AD990" s="11"/>
      <c r="AE990" s="11"/>
      <c r="AF990" s="11"/>
      <c r="AG990" s="11"/>
      <c r="AH990" s="11"/>
      <c r="AI990" s="11">
        <v>16</v>
      </c>
      <c r="AJ990" s="11"/>
      <c r="AK990" s="11"/>
      <c r="AL990" s="11"/>
      <c r="AM990" s="11">
        <v>216</v>
      </c>
      <c r="AN990" s="11"/>
      <c r="AO990" s="11">
        <v>71</v>
      </c>
      <c r="AP990" s="11">
        <v>25</v>
      </c>
      <c r="AQ990" s="11"/>
      <c r="AR990" s="11"/>
      <c r="AS990" s="11"/>
      <c r="AT990" s="11"/>
      <c r="AU990" s="20" t="str">
        <f>HYPERLINK("http://www.openstreetmap.org/?mlat=34.0784&amp;mlon=44.0544&amp;zoom=12#map=12/34.0784/44.0544","Maplink1")</f>
        <v>Maplink1</v>
      </c>
      <c r="AV990" s="20" t="str">
        <f>HYPERLINK("https://www.google.iq/maps/search/+34.0784,44.0544/@34.0784,44.0544,14z?hl=en","Maplink2")</f>
        <v>Maplink2</v>
      </c>
      <c r="AW990" s="20" t="str">
        <f>HYPERLINK("http://www.bing.com/maps/?lvl=14&amp;sty=h&amp;cp=34.0784~44.0544&amp;sp=point.34.0784_44.0544","Maplink3")</f>
        <v>Maplink3</v>
      </c>
    </row>
    <row r="991" spans="1:49" s="19" customFormat="1" x14ac:dyDescent="0.25">
      <c r="A991" s="9">
        <v>20695</v>
      </c>
      <c r="B991" s="10" t="s">
        <v>22</v>
      </c>
      <c r="C991" s="10" t="s">
        <v>1470</v>
      </c>
      <c r="D991" s="10" t="s">
        <v>1472</v>
      </c>
      <c r="E991" s="10" t="s">
        <v>1473</v>
      </c>
      <c r="F991" s="10">
        <v>34.309098212999999</v>
      </c>
      <c r="G991" s="10">
        <v>43.779920367499997</v>
      </c>
      <c r="H991" s="11">
        <v>488</v>
      </c>
      <c r="I991" s="11">
        <v>2928</v>
      </c>
      <c r="J991" s="11"/>
      <c r="K991" s="11"/>
      <c r="L991" s="11"/>
      <c r="M991" s="11"/>
      <c r="N991" s="11"/>
      <c r="O991" s="11"/>
      <c r="P991" s="11">
        <v>30</v>
      </c>
      <c r="Q991" s="11"/>
      <c r="R991" s="11">
        <v>33</v>
      </c>
      <c r="S991" s="11"/>
      <c r="T991" s="11"/>
      <c r="U991" s="11"/>
      <c r="V991" s="11"/>
      <c r="W991" s="11"/>
      <c r="X991" s="11">
        <v>390</v>
      </c>
      <c r="Y991" s="11">
        <v>35</v>
      </c>
      <c r="Z991" s="11"/>
      <c r="AA991" s="11"/>
      <c r="AB991" s="11"/>
      <c r="AC991" s="11">
        <v>476</v>
      </c>
      <c r="AD991" s="11">
        <v>12</v>
      </c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>
        <v>448</v>
      </c>
      <c r="AQ991" s="11">
        <v>40</v>
      </c>
      <c r="AR991" s="11"/>
      <c r="AS991" s="11"/>
      <c r="AT991" s="11"/>
      <c r="AU991" s="20" t="str">
        <f>HYPERLINK("http://www.openstreetmap.org/?mlat=34.3091&amp;mlon=43.7799&amp;zoom=12#map=12/34.3091/43.7799","Maplink1")</f>
        <v>Maplink1</v>
      </c>
      <c r="AV991" s="20" t="str">
        <f>HYPERLINK("https://www.google.iq/maps/search/+34.3091,43.7799/@34.3091,43.7799,14z?hl=en","Maplink2")</f>
        <v>Maplink2</v>
      </c>
      <c r="AW991" s="20" t="str">
        <f>HYPERLINK("http://www.bing.com/maps/?lvl=14&amp;sty=h&amp;cp=34.3091~43.7799&amp;sp=point.34.3091_43.7799","Maplink3")</f>
        <v>Maplink3</v>
      </c>
    </row>
    <row r="992" spans="1:49" s="19" customFormat="1" x14ac:dyDescent="0.25">
      <c r="A992" s="9">
        <v>20674</v>
      </c>
      <c r="B992" s="10" t="s">
        <v>22</v>
      </c>
      <c r="C992" s="10" t="s">
        <v>1470</v>
      </c>
      <c r="D992" s="10" t="s">
        <v>1474</v>
      </c>
      <c r="E992" s="10" t="s">
        <v>1475</v>
      </c>
      <c r="F992" s="10">
        <v>34.202021160000001</v>
      </c>
      <c r="G992" s="10">
        <v>43.811763470000002</v>
      </c>
      <c r="H992" s="11">
        <v>527</v>
      </c>
      <c r="I992" s="11">
        <v>3162</v>
      </c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>
        <v>34</v>
      </c>
      <c r="W992" s="11"/>
      <c r="X992" s="11">
        <v>493</v>
      </c>
      <c r="Y992" s="11"/>
      <c r="Z992" s="11"/>
      <c r="AA992" s="11"/>
      <c r="AB992" s="11"/>
      <c r="AC992" s="11">
        <v>527</v>
      </c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>
        <v>394</v>
      </c>
      <c r="AO992" s="11">
        <v>70</v>
      </c>
      <c r="AP992" s="11">
        <v>21</v>
      </c>
      <c r="AQ992" s="11"/>
      <c r="AR992" s="11"/>
      <c r="AS992" s="11">
        <v>42</v>
      </c>
      <c r="AT992" s="11"/>
      <c r="AU992" s="20" t="str">
        <f>HYPERLINK("http://www.openstreetmap.org/?mlat=34.202&amp;mlon=43.8118&amp;zoom=12#map=12/34.202/43.8118","Maplink1")</f>
        <v>Maplink1</v>
      </c>
      <c r="AV992" s="20" t="str">
        <f>HYPERLINK("https://www.google.iq/maps/search/+34.202,43.8118/@34.202,43.8118,14z?hl=en","Maplink2")</f>
        <v>Maplink2</v>
      </c>
      <c r="AW992" s="20" t="str">
        <f>HYPERLINK("http://www.bing.com/maps/?lvl=14&amp;sty=h&amp;cp=34.202~43.8118&amp;sp=point.34.202_43.8118","Maplink3")</f>
        <v>Maplink3</v>
      </c>
    </row>
    <row r="993" spans="1:49" s="19" customFormat="1" x14ac:dyDescent="0.25">
      <c r="A993" s="9">
        <v>20673</v>
      </c>
      <c r="B993" s="10" t="s">
        <v>22</v>
      </c>
      <c r="C993" s="10" t="s">
        <v>1470</v>
      </c>
      <c r="D993" s="10" t="s">
        <v>1476</v>
      </c>
      <c r="E993" s="10" t="s">
        <v>1477</v>
      </c>
      <c r="F993" s="10">
        <v>34.240887667999999</v>
      </c>
      <c r="G993" s="10">
        <v>43.883420275500001</v>
      </c>
      <c r="H993" s="11">
        <v>895</v>
      </c>
      <c r="I993" s="11">
        <v>5370</v>
      </c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>
        <v>895</v>
      </c>
      <c r="Y993" s="11"/>
      <c r="Z993" s="11"/>
      <c r="AA993" s="11"/>
      <c r="AB993" s="11"/>
      <c r="AC993" s="11">
        <v>781</v>
      </c>
      <c r="AD993" s="11"/>
      <c r="AE993" s="11"/>
      <c r="AF993" s="11">
        <v>59</v>
      </c>
      <c r="AG993" s="11"/>
      <c r="AH993" s="11"/>
      <c r="AI993" s="11"/>
      <c r="AJ993" s="11"/>
      <c r="AK993" s="11"/>
      <c r="AL993" s="11">
        <v>55</v>
      </c>
      <c r="AM993" s="11">
        <v>296</v>
      </c>
      <c r="AN993" s="11">
        <v>143</v>
      </c>
      <c r="AO993" s="11">
        <v>44</v>
      </c>
      <c r="AP993" s="11">
        <v>412</v>
      </c>
      <c r="AQ993" s="11"/>
      <c r="AR993" s="11"/>
      <c r="AS993" s="11"/>
      <c r="AT993" s="11"/>
      <c r="AU993" s="20" t="str">
        <f>HYPERLINK("http://www.openstreetmap.org/?mlat=34.2409&amp;mlon=43.8834&amp;zoom=12#map=12/34.2409/43.8834","Maplink1")</f>
        <v>Maplink1</v>
      </c>
      <c r="AV993" s="20" t="str">
        <f>HYPERLINK("https://www.google.iq/maps/search/+34.2409,43.8834/@34.2409,43.8834,14z?hl=en","Maplink2")</f>
        <v>Maplink2</v>
      </c>
      <c r="AW993" s="20" t="str">
        <f>HYPERLINK("http://www.bing.com/maps/?lvl=14&amp;sty=h&amp;cp=34.2409~43.8834&amp;sp=point.34.2409_43.8834","Maplink3")</f>
        <v>Maplink3</v>
      </c>
    </row>
    <row r="994" spans="1:49" s="19" customFormat="1" x14ac:dyDescent="0.25">
      <c r="A994" s="9">
        <v>23774</v>
      </c>
      <c r="B994" s="10" t="s">
        <v>22</v>
      </c>
      <c r="C994" s="10" t="s">
        <v>1470</v>
      </c>
      <c r="D994" s="10" t="s">
        <v>1478</v>
      </c>
      <c r="E994" s="10" t="s">
        <v>1479</v>
      </c>
      <c r="F994" s="10">
        <v>34.094749772900002</v>
      </c>
      <c r="G994" s="10">
        <v>44.053551200800001</v>
      </c>
      <c r="H994" s="11">
        <v>372</v>
      </c>
      <c r="I994" s="11">
        <v>2232</v>
      </c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>
        <v>372</v>
      </c>
      <c r="Y994" s="11"/>
      <c r="Z994" s="11"/>
      <c r="AA994" s="11"/>
      <c r="AB994" s="11"/>
      <c r="AC994" s="11">
        <v>372</v>
      </c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>
        <v>352</v>
      </c>
      <c r="AP994" s="11">
        <v>20</v>
      </c>
      <c r="AQ994" s="11"/>
      <c r="AR994" s="11"/>
      <c r="AS994" s="11"/>
      <c r="AT994" s="11"/>
      <c r="AU994" s="20" t="str">
        <f>HYPERLINK("http://www.openstreetmap.org/?mlat=34.0947&amp;mlon=44.0536&amp;zoom=12#map=12/34.0947/44.0536","Maplink1")</f>
        <v>Maplink1</v>
      </c>
      <c r="AV994" s="20" t="str">
        <f>HYPERLINK("https://www.google.iq/maps/search/+34.0947,44.0536/@34.0947,44.0536,14z?hl=en","Maplink2")</f>
        <v>Maplink2</v>
      </c>
      <c r="AW994" s="20" t="str">
        <f>HYPERLINK("http://www.bing.com/maps/?lvl=14&amp;sty=h&amp;cp=34.0947~44.0536&amp;sp=point.34.0947_44.0536","Maplink3")</f>
        <v>Maplink3</v>
      </c>
    </row>
    <row r="995" spans="1:49" s="19" customFormat="1" x14ac:dyDescent="0.25">
      <c r="A995" s="9">
        <v>23775</v>
      </c>
      <c r="B995" s="10" t="s">
        <v>22</v>
      </c>
      <c r="C995" s="10" t="s">
        <v>1470</v>
      </c>
      <c r="D995" s="10" t="s">
        <v>1480</v>
      </c>
      <c r="E995" s="10" t="s">
        <v>1481</v>
      </c>
      <c r="F995" s="10">
        <v>34.075383804700003</v>
      </c>
      <c r="G995" s="10">
        <v>44.089337903999997</v>
      </c>
      <c r="H995" s="11">
        <v>230</v>
      </c>
      <c r="I995" s="11">
        <v>1380</v>
      </c>
      <c r="J995" s="11"/>
      <c r="K995" s="11"/>
      <c r="L995" s="11"/>
      <c r="M995" s="11"/>
      <c r="N995" s="11"/>
      <c r="O995" s="11"/>
      <c r="P995" s="11">
        <v>12</v>
      </c>
      <c r="Q995" s="11"/>
      <c r="R995" s="11">
        <v>39</v>
      </c>
      <c r="S995" s="11"/>
      <c r="T995" s="11"/>
      <c r="U995" s="11"/>
      <c r="V995" s="11"/>
      <c r="W995" s="11"/>
      <c r="X995" s="11">
        <v>156</v>
      </c>
      <c r="Y995" s="11">
        <v>23</v>
      </c>
      <c r="Z995" s="11"/>
      <c r="AA995" s="11"/>
      <c r="AB995" s="11"/>
      <c r="AC995" s="11">
        <v>213</v>
      </c>
      <c r="AD995" s="11"/>
      <c r="AE995" s="11"/>
      <c r="AF995" s="11"/>
      <c r="AG995" s="11"/>
      <c r="AH995" s="11"/>
      <c r="AI995" s="11">
        <v>17</v>
      </c>
      <c r="AJ995" s="11"/>
      <c r="AK995" s="11"/>
      <c r="AL995" s="11"/>
      <c r="AM995" s="11">
        <v>160</v>
      </c>
      <c r="AN995" s="11">
        <v>32</v>
      </c>
      <c r="AO995" s="11">
        <v>38</v>
      </c>
      <c r="AP995" s="11"/>
      <c r="AQ995" s="11"/>
      <c r="AR995" s="11"/>
      <c r="AS995" s="11"/>
      <c r="AT995" s="11"/>
      <c r="AU995" s="20" t="str">
        <f>HYPERLINK("http://www.openstreetmap.org/?mlat=34.0754&amp;mlon=44.0893&amp;zoom=12#map=12/34.0754/44.0893","Maplink1")</f>
        <v>Maplink1</v>
      </c>
      <c r="AV995" s="20" t="str">
        <f>HYPERLINK("https://www.google.iq/maps/search/+34.0754,44.0893/@34.0754,44.0893,14z?hl=en","Maplink2")</f>
        <v>Maplink2</v>
      </c>
      <c r="AW995" s="20" t="str">
        <f>HYPERLINK("http://www.bing.com/maps/?lvl=14&amp;sty=h&amp;cp=34.0754~44.0893&amp;sp=point.34.0754_44.0893","Maplink3")</f>
        <v>Maplink3</v>
      </c>
    </row>
    <row r="996" spans="1:49" s="19" customFormat="1" x14ac:dyDescent="0.25">
      <c r="A996" s="9">
        <v>20752</v>
      </c>
      <c r="B996" s="10" t="s">
        <v>22</v>
      </c>
      <c r="C996" s="10" t="s">
        <v>1470</v>
      </c>
      <c r="D996" s="10" t="s">
        <v>1482</v>
      </c>
      <c r="E996" s="10" t="s">
        <v>2035</v>
      </c>
      <c r="F996" s="10">
        <v>34.368115000000003</v>
      </c>
      <c r="G996" s="10">
        <v>43.660998999999997</v>
      </c>
      <c r="H996" s="11">
        <v>1950</v>
      </c>
      <c r="I996" s="11">
        <v>11700</v>
      </c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>
        <v>1950</v>
      </c>
      <c r="Y996" s="11"/>
      <c r="Z996" s="11"/>
      <c r="AA996" s="11"/>
      <c r="AB996" s="11"/>
      <c r="AC996" s="11">
        <v>1950</v>
      </c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>
        <v>201</v>
      </c>
      <c r="AR996" s="11">
        <v>1736</v>
      </c>
      <c r="AS996" s="11">
        <v>13</v>
      </c>
      <c r="AT996" s="11"/>
      <c r="AU996" s="20" t="str">
        <f>HYPERLINK("http://www.openstreetmap.org/?mlat=34.3681&amp;mlon=43.661&amp;zoom=12#map=12/34.3681/43.661","Maplink1")</f>
        <v>Maplink1</v>
      </c>
      <c r="AV996" s="20" t="str">
        <f>HYPERLINK("https://www.google.iq/maps/search/+34.3681,43.661/@34.3681,43.661,14z?hl=en","Maplink2")</f>
        <v>Maplink2</v>
      </c>
      <c r="AW996" s="20" t="str">
        <f>HYPERLINK("http://www.bing.com/maps/?lvl=14&amp;sty=h&amp;cp=34.3681~43.661&amp;sp=point.34.3681_43.661","Maplink3")</f>
        <v>Maplink3</v>
      </c>
    </row>
    <row r="997" spans="1:49" s="19" customFormat="1" x14ac:dyDescent="0.25">
      <c r="A997" s="9">
        <v>25926</v>
      </c>
      <c r="B997" s="10" t="s">
        <v>22</v>
      </c>
      <c r="C997" s="10" t="s">
        <v>1470</v>
      </c>
      <c r="D997" s="10" t="s">
        <v>1483</v>
      </c>
      <c r="E997" s="10" t="s">
        <v>1484</v>
      </c>
      <c r="F997" s="10">
        <v>34.261302631299998</v>
      </c>
      <c r="G997" s="10">
        <v>43.876644177400003</v>
      </c>
      <c r="H997" s="11">
        <v>465</v>
      </c>
      <c r="I997" s="11">
        <v>2790</v>
      </c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>
        <v>465</v>
      </c>
      <c r="Y997" s="11"/>
      <c r="Z997" s="11"/>
      <c r="AA997" s="11"/>
      <c r="AB997" s="11"/>
      <c r="AC997" s="11">
        <v>435</v>
      </c>
      <c r="AD997" s="11"/>
      <c r="AE997" s="11"/>
      <c r="AF997" s="11"/>
      <c r="AG997" s="11">
        <v>30</v>
      </c>
      <c r="AH997" s="11"/>
      <c r="AI997" s="11"/>
      <c r="AJ997" s="11"/>
      <c r="AK997" s="11"/>
      <c r="AL997" s="11"/>
      <c r="AM997" s="11"/>
      <c r="AN997" s="11"/>
      <c r="AO997" s="11"/>
      <c r="AP997" s="11">
        <v>465</v>
      </c>
      <c r="AQ997" s="11"/>
      <c r="AR997" s="11"/>
      <c r="AS997" s="11"/>
      <c r="AT997" s="11"/>
      <c r="AU997" s="20" t="str">
        <f>HYPERLINK("http://www.openstreetmap.org/?mlat=34.2613&amp;mlon=43.8766&amp;zoom=12#map=12/34.2613/43.8766","Maplink1")</f>
        <v>Maplink1</v>
      </c>
      <c r="AV997" s="20" t="str">
        <f>HYPERLINK("https://www.google.iq/maps/search/+34.2613,43.8766/@34.2613,43.8766,14z?hl=en","Maplink2")</f>
        <v>Maplink2</v>
      </c>
      <c r="AW997" s="20" t="str">
        <f>HYPERLINK("http://www.bing.com/maps/?lvl=14&amp;sty=h&amp;cp=34.2613~43.8766&amp;sp=point.34.2613_43.8766","Maplink3")</f>
        <v>Maplink3</v>
      </c>
    </row>
    <row r="998" spans="1:49" s="19" customFormat="1" x14ac:dyDescent="0.25">
      <c r="A998" s="9">
        <v>29539</v>
      </c>
      <c r="B998" s="10" t="s">
        <v>22</v>
      </c>
      <c r="C998" s="10" t="s">
        <v>1470</v>
      </c>
      <c r="D998" s="10" t="s">
        <v>1485</v>
      </c>
      <c r="E998" s="10" t="s">
        <v>2036</v>
      </c>
      <c r="F998" s="10">
        <v>34.3685189495</v>
      </c>
      <c r="G998" s="10">
        <v>43.751954398999999</v>
      </c>
      <c r="H998" s="11">
        <v>2490</v>
      </c>
      <c r="I998" s="11">
        <v>14940</v>
      </c>
      <c r="J998" s="11"/>
      <c r="K998" s="11"/>
      <c r="L998" s="11">
        <v>215</v>
      </c>
      <c r="M998" s="11"/>
      <c r="N998" s="11"/>
      <c r="O998" s="11"/>
      <c r="P998" s="11">
        <v>23</v>
      </c>
      <c r="Q998" s="11"/>
      <c r="R998" s="11">
        <v>55</v>
      </c>
      <c r="S998" s="11"/>
      <c r="T998" s="11"/>
      <c r="U998" s="11"/>
      <c r="V998" s="11"/>
      <c r="W998" s="11"/>
      <c r="X998" s="11">
        <v>2167</v>
      </c>
      <c r="Y998" s="11">
        <v>30</v>
      </c>
      <c r="Z998" s="11"/>
      <c r="AA998" s="11"/>
      <c r="AB998" s="11"/>
      <c r="AC998" s="11">
        <v>2173</v>
      </c>
      <c r="AD998" s="11">
        <v>63</v>
      </c>
      <c r="AE998" s="11"/>
      <c r="AF998" s="11">
        <v>238</v>
      </c>
      <c r="AG998" s="11"/>
      <c r="AH998" s="11"/>
      <c r="AI998" s="11">
        <v>16</v>
      </c>
      <c r="AJ998" s="11"/>
      <c r="AK998" s="11"/>
      <c r="AL998" s="11"/>
      <c r="AM998" s="11">
        <v>1400</v>
      </c>
      <c r="AN998" s="11">
        <v>490</v>
      </c>
      <c r="AO998" s="11">
        <v>220</v>
      </c>
      <c r="AP998" s="11">
        <v>380</v>
      </c>
      <c r="AQ998" s="11"/>
      <c r="AR998" s="11"/>
      <c r="AS998" s="11"/>
      <c r="AT998" s="11"/>
      <c r="AU998" s="20" t="str">
        <f>HYPERLINK("http://www.openstreetmap.org/?mlat=34.3685&amp;mlon=43.752&amp;zoom=12#map=12/34.3685/43.752","Maplink1")</f>
        <v>Maplink1</v>
      </c>
      <c r="AV998" s="20" t="str">
        <f>HYPERLINK("https://www.google.iq/maps/search/+34.3685,43.752/@34.3685,43.752,14z?hl=en","Maplink2")</f>
        <v>Maplink2</v>
      </c>
      <c r="AW998" s="20" t="str">
        <f>HYPERLINK("http://www.bing.com/maps/?lvl=14&amp;sty=h&amp;cp=34.3685~43.752&amp;sp=point.34.3685_43.752","Maplink3")</f>
        <v>Maplink3</v>
      </c>
    </row>
    <row r="999" spans="1:49" s="19" customFormat="1" x14ac:dyDescent="0.25">
      <c r="A999" s="9">
        <v>23145</v>
      </c>
      <c r="B999" s="10" t="s">
        <v>22</v>
      </c>
      <c r="C999" s="10" t="s">
        <v>1486</v>
      </c>
      <c r="D999" s="10" t="s">
        <v>1488</v>
      </c>
      <c r="E999" s="10" t="s">
        <v>1489</v>
      </c>
      <c r="F999" s="10">
        <v>34.720040168600001</v>
      </c>
      <c r="G999" s="10">
        <v>43.697310760599997</v>
      </c>
      <c r="H999" s="11">
        <v>750</v>
      </c>
      <c r="I999" s="11">
        <v>4500</v>
      </c>
      <c r="J999" s="11"/>
      <c r="K999" s="11"/>
      <c r="L999" s="11">
        <v>33</v>
      </c>
      <c r="M999" s="11"/>
      <c r="N999" s="11"/>
      <c r="O999" s="11"/>
      <c r="P999" s="11">
        <v>38</v>
      </c>
      <c r="Q999" s="11"/>
      <c r="R999" s="11">
        <v>409</v>
      </c>
      <c r="S999" s="11"/>
      <c r="T999" s="11"/>
      <c r="U999" s="11"/>
      <c r="V999" s="11"/>
      <c r="W999" s="11"/>
      <c r="X999" s="11">
        <v>253</v>
      </c>
      <c r="Y999" s="11">
        <v>17</v>
      </c>
      <c r="Z999" s="11"/>
      <c r="AA999" s="11"/>
      <c r="AB999" s="11"/>
      <c r="AC999" s="11">
        <v>750</v>
      </c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>
        <v>400</v>
      </c>
      <c r="AO999" s="11">
        <v>350</v>
      </c>
      <c r="AP999" s="11"/>
      <c r="AQ999" s="11"/>
      <c r="AR999" s="11"/>
      <c r="AS999" s="11"/>
      <c r="AT999" s="11"/>
      <c r="AU999" s="20" t="str">
        <f>HYPERLINK("http://www.openstreetmap.org/?mlat=34.72&amp;mlon=43.6973&amp;zoom=12#map=12/34.72/43.6973","Maplink1")</f>
        <v>Maplink1</v>
      </c>
      <c r="AV999" s="20" t="str">
        <f>HYPERLINK("https://www.google.iq/maps/search/+34.72,43.6973/@34.72,43.6973,14z?hl=en","Maplink2")</f>
        <v>Maplink2</v>
      </c>
      <c r="AW999" s="20" t="str">
        <f>HYPERLINK("http://www.bing.com/maps/?lvl=14&amp;sty=h&amp;cp=34.72~43.6973&amp;sp=point.34.72_43.6973","Maplink3")</f>
        <v>Maplink3</v>
      </c>
    </row>
    <row r="1000" spans="1:49" s="19" customFormat="1" x14ac:dyDescent="0.25">
      <c r="A1000" s="9">
        <v>22331</v>
      </c>
      <c r="B1000" s="10" t="s">
        <v>22</v>
      </c>
      <c r="C1000" s="10" t="s">
        <v>1486</v>
      </c>
      <c r="D1000" s="10" t="s">
        <v>2037</v>
      </c>
      <c r="E1000" s="10" t="s">
        <v>2038</v>
      </c>
      <c r="F1000" s="10">
        <v>34.611737460000001</v>
      </c>
      <c r="G1000" s="10">
        <v>43.673758929999998</v>
      </c>
      <c r="H1000" s="11">
        <v>507</v>
      </c>
      <c r="I1000" s="11">
        <v>3042</v>
      </c>
      <c r="J1000" s="11"/>
      <c r="K1000" s="11"/>
      <c r="L1000" s="11">
        <v>6</v>
      </c>
      <c r="M1000" s="11"/>
      <c r="N1000" s="11"/>
      <c r="O1000" s="11"/>
      <c r="P1000" s="11">
        <v>117</v>
      </c>
      <c r="Q1000" s="11"/>
      <c r="R1000" s="11">
        <v>257</v>
      </c>
      <c r="S1000" s="11"/>
      <c r="T1000" s="11"/>
      <c r="U1000" s="11"/>
      <c r="V1000" s="11"/>
      <c r="W1000" s="11"/>
      <c r="X1000" s="11">
        <v>52</v>
      </c>
      <c r="Y1000" s="11">
        <v>75</v>
      </c>
      <c r="Z1000" s="11"/>
      <c r="AA1000" s="11"/>
      <c r="AB1000" s="11"/>
      <c r="AC1000" s="11">
        <v>484</v>
      </c>
      <c r="AD1000" s="11"/>
      <c r="AE1000" s="11"/>
      <c r="AF1000" s="11"/>
      <c r="AG1000" s="11"/>
      <c r="AH1000" s="11"/>
      <c r="AI1000" s="11">
        <v>23</v>
      </c>
      <c r="AJ1000" s="11"/>
      <c r="AK1000" s="11"/>
      <c r="AL1000" s="11"/>
      <c r="AM1000" s="11"/>
      <c r="AN1000" s="11">
        <v>5</v>
      </c>
      <c r="AO1000" s="11">
        <v>430</v>
      </c>
      <c r="AP1000" s="11">
        <v>72</v>
      </c>
      <c r="AQ1000" s="11"/>
      <c r="AR1000" s="11"/>
      <c r="AS1000" s="11"/>
      <c r="AT1000" s="11"/>
      <c r="AU1000" s="20" t="str">
        <f>HYPERLINK("http://www.openstreetmap.org/?mlat=34.6117&amp;mlon=43.6738&amp;zoom=12#map=12/34.6117/43.6738","Maplink1")</f>
        <v>Maplink1</v>
      </c>
      <c r="AV1000" s="20" t="str">
        <f>HYPERLINK("https://www.google.iq/maps/search/+34.6117,43.6738/@34.6117,43.6738,14z?hl=en","Maplink2")</f>
        <v>Maplink2</v>
      </c>
      <c r="AW1000" s="20" t="str">
        <f>HYPERLINK("http://www.bing.com/maps/?lvl=14&amp;sty=h&amp;cp=34.6117~43.6738&amp;sp=point.34.6117_43.6738","Maplink3")</f>
        <v>Maplink3</v>
      </c>
    </row>
    <row r="1001" spans="1:49" s="19" customFormat="1" x14ac:dyDescent="0.25">
      <c r="A1001" s="9">
        <v>25949</v>
      </c>
      <c r="B1001" s="10" t="s">
        <v>22</v>
      </c>
      <c r="C1001" s="10" t="s">
        <v>1486</v>
      </c>
      <c r="D1001" s="10" t="s">
        <v>1490</v>
      </c>
      <c r="E1001" s="10" t="s">
        <v>1491</v>
      </c>
      <c r="F1001" s="10">
        <v>34.889133643100003</v>
      </c>
      <c r="G1001" s="10">
        <v>43.548081662599998</v>
      </c>
      <c r="H1001" s="11">
        <v>400</v>
      </c>
      <c r="I1001" s="11">
        <v>2400</v>
      </c>
      <c r="J1001" s="11"/>
      <c r="K1001" s="11"/>
      <c r="L1001" s="11"/>
      <c r="M1001" s="11"/>
      <c r="N1001" s="11"/>
      <c r="O1001" s="11"/>
      <c r="P1001" s="11"/>
      <c r="Q1001" s="11"/>
      <c r="R1001" s="11">
        <v>200</v>
      </c>
      <c r="S1001" s="11"/>
      <c r="T1001" s="11"/>
      <c r="U1001" s="11"/>
      <c r="V1001" s="11"/>
      <c r="W1001" s="11"/>
      <c r="X1001" s="11">
        <v>200</v>
      </c>
      <c r="Y1001" s="11"/>
      <c r="Z1001" s="11"/>
      <c r="AA1001" s="11"/>
      <c r="AB1001" s="11"/>
      <c r="AC1001" s="11">
        <v>390</v>
      </c>
      <c r="AD1001" s="11"/>
      <c r="AE1001" s="11"/>
      <c r="AF1001" s="11">
        <v>10</v>
      </c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>
        <v>400</v>
      </c>
      <c r="AQ1001" s="11"/>
      <c r="AR1001" s="11"/>
      <c r="AS1001" s="11"/>
      <c r="AT1001" s="11"/>
      <c r="AU1001" s="20" t="str">
        <f>HYPERLINK("http://www.openstreetmap.org/?mlat=34.8891&amp;mlon=43.5481&amp;zoom=12#map=12/34.8891/43.5481","Maplink1")</f>
        <v>Maplink1</v>
      </c>
      <c r="AV1001" s="20" t="str">
        <f>HYPERLINK("https://www.google.iq/maps/search/+34.8891,43.5481/@34.8891,43.5481,14z?hl=en","Maplink2")</f>
        <v>Maplink2</v>
      </c>
      <c r="AW1001" s="20" t="str">
        <f>HYPERLINK("http://www.bing.com/maps/?lvl=14&amp;sty=h&amp;cp=34.8891~43.5481&amp;sp=point.34.8891_43.5481","Maplink3")</f>
        <v>Maplink3</v>
      </c>
    </row>
    <row r="1002" spans="1:49" s="19" customFormat="1" x14ac:dyDescent="0.25">
      <c r="A1002" s="9">
        <v>25569</v>
      </c>
      <c r="B1002" s="10" t="s">
        <v>22</v>
      </c>
      <c r="C1002" s="10" t="s">
        <v>1486</v>
      </c>
      <c r="D1002" s="10" t="s">
        <v>1492</v>
      </c>
      <c r="E1002" s="10" t="s">
        <v>1493</v>
      </c>
      <c r="F1002" s="10">
        <v>34.706647384500002</v>
      </c>
      <c r="G1002" s="10">
        <v>43.684072016899997</v>
      </c>
      <c r="H1002" s="11">
        <v>200</v>
      </c>
      <c r="I1002" s="11">
        <v>1200</v>
      </c>
      <c r="J1002" s="11"/>
      <c r="K1002" s="11"/>
      <c r="L1002" s="11"/>
      <c r="M1002" s="11"/>
      <c r="N1002" s="11"/>
      <c r="O1002" s="11"/>
      <c r="P1002" s="11">
        <v>19</v>
      </c>
      <c r="Q1002" s="11"/>
      <c r="R1002" s="11">
        <v>174</v>
      </c>
      <c r="S1002" s="11"/>
      <c r="T1002" s="11"/>
      <c r="U1002" s="11"/>
      <c r="V1002" s="11"/>
      <c r="W1002" s="11"/>
      <c r="X1002" s="11"/>
      <c r="Y1002" s="11">
        <v>7</v>
      </c>
      <c r="Z1002" s="11"/>
      <c r="AA1002" s="11"/>
      <c r="AB1002" s="11"/>
      <c r="AC1002" s="11">
        <v>200</v>
      </c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>
        <v>174</v>
      </c>
      <c r="AP1002" s="11">
        <v>26</v>
      </c>
      <c r="AQ1002" s="11"/>
      <c r="AR1002" s="11"/>
      <c r="AS1002" s="11"/>
      <c r="AT1002" s="11"/>
      <c r="AU1002" s="20" t="str">
        <f>HYPERLINK("http://www.openstreetmap.org/?mlat=34.7066&amp;mlon=43.6841&amp;zoom=12#map=12/34.7066/43.6841","Maplink1")</f>
        <v>Maplink1</v>
      </c>
      <c r="AV1002" s="20" t="str">
        <f>HYPERLINK("https://www.google.iq/maps/search/+34.7066,43.6841/@34.7066,43.6841,14z?hl=en","Maplink2")</f>
        <v>Maplink2</v>
      </c>
      <c r="AW1002" s="20" t="str">
        <f>HYPERLINK("http://www.bing.com/maps/?lvl=14&amp;sty=h&amp;cp=34.7066~43.6841&amp;sp=point.34.7066_43.6841","Maplink3")</f>
        <v>Maplink3</v>
      </c>
    </row>
    <row r="1003" spans="1:49" s="19" customFormat="1" x14ac:dyDescent="0.25">
      <c r="A1003" s="9">
        <v>20642</v>
      </c>
      <c r="B1003" s="10" t="s">
        <v>22</v>
      </c>
      <c r="C1003" s="10" t="s">
        <v>1486</v>
      </c>
      <c r="D1003" s="10" t="s">
        <v>2039</v>
      </c>
      <c r="E1003" s="10" t="s">
        <v>1042</v>
      </c>
      <c r="F1003" s="10">
        <v>34.690297870000002</v>
      </c>
      <c r="G1003" s="10">
        <v>43.624409999999997</v>
      </c>
      <c r="H1003" s="11">
        <v>145</v>
      </c>
      <c r="I1003" s="11">
        <v>870</v>
      </c>
      <c r="J1003" s="11"/>
      <c r="K1003" s="11"/>
      <c r="L1003" s="11"/>
      <c r="M1003" s="11"/>
      <c r="N1003" s="11"/>
      <c r="O1003" s="11"/>
      <c r="P1003" s="11">
        <v>4</v>
      </c>
      <c r="Q1003" s="11"/>
      <c r="R1003" s="11">
        <v>100</v>
      </c>
      <c r="S1003" s="11"/>
      <c r="T1003" s="11"/>
      <c r="U1003" s="11"/>
      <c r="V1003" s="11"/>
      <c r="W1003" s="11"/>
      <c r="X1003" s="11">
        <v>33</v>
      </c>
      <c r="Y1003" s="11">
        <v>8</v>
      </c>
      <c r="Z1003" s="11"/>
      <c r="AA1003" s="11"/>
      <c r="AB1003" s="11"/>
      <c r="AC1003" s="11">
        <v>145</v>
      </c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>
        <v>112</v>
      </c>
      <c r="AO1003" s="11"/>
      <c r="AP1003" s="11">
        <v>33</v>
      </c>
      <c r="AQ1003" s="11"/>
      <c r="AR1003" s="11"/>
      <c r="AS1003" s="11"/>
      <c r="AT1003" s="11"/>
      <c r="AU1003" s="20" t="str">
        <f>HYPERLINK("http://www.openstreetmap.org/?mlat=34.6903&amp;mlon=43.6244&amp;zoom=12#map=12/34.6903/43.6244","Maplink1")</f>
        <v>Maplink1</v>
      </c>
      <c r="AV1003" s="20" t="str">
        <f>HYPERLINK("https://www.google.iq/maps/search/+34.6903,43.6244/@34.6903,43.6244,14z?hl=en","Maplink2")</f>
        <v>Maplink2</v>
      </c>
      <c r="AW1003" s="20" t="str">
        <f>HYPERLINK("http://www.bing.com/maps/?lvl=14&amp;sty=h&amp;cp=34.6903~43.6244&amp;sp=point.34.6903_43.6244","Maplink3")</f>
        <v>Maplink3</v>
      </c>
    </row>
    <row r="1004" spans="1:49" s="19" customFormat="1" x14ac:dyDescent="0.25">
      <c r="A1004" s="9">
        <v>24212</v>
      </c>
      <c r="B1004" s="10" t="s">
        <v>22</v>
      </c>
      <c r="C1004" s="10" t="s">
        <v>1486</v>
      </c>
      <c r="D1004" s="10" t="s">
        <v>1494</v>
      </c>
      <c r="E1004" s="10" t="s">
        <v>1495</v>
      </c>
      <c r="F1004" s="10">
        <v>34.770133000000001</v>
      </c>
      <c r="G1004" s="10">
        <v>43.642803999999998</v>
      </c>
      <c r="H1004" s="11">
        <v>125</v>
      </c>
      <c r="I1004" s="11">
        <v>750</v>
      </c>
      <c r="J1004" s="11"/>
      <c r="K1004" s="11"/>
      <c r="L1004" s="11">
        <v>5</v>
      </c>
      <c r="M1004" s="11"/>
      <c r="N1004" s="11"/>
      <c r="O1004" s="11"/>
      <c r="P1004" s="11">
        <v>20</v>
      </c>
      <c r="Q1004" s="11"/>
      <c r="R1004" s="11">
        <v>50</v>
      </c>
      <c r="S1004" s="11"/>
      <c r="T1004" s="11"/>
      <c r="U1004" s="11">
        <v>20</v>
      </c>
      <c r="V1004" s="11"/>
      <c r="W1004" s="11"/>
      <c r="X1004" s="11">
        <v>20</v>
      </c>
      <c r="Y1004" s="11">
        <v>10</v>
      </c>
      <c r="Z1004" s="11"/>
      <c r="AA1004" s="11"/>
      <c r="AB1004" s="11"/>
      <c r="AC1004" s="11">
        <v>125</v>
      </c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>
        <v>60</v>
      </c>
      <c r="AO1004" s="11">
        <v>35</v>
      </c>
      <c r="AP1004" s="11">
        <v>30</v>
      </c>
      <c r="AQ1004" s="11"/>
      <c r="AR1004" s="11"/>
      <c r="AS1004" s="11"/>
      <c r="AT1004" s="11"/>
      <c r="AU1004" s="20" t="str">
        <f>HYPERLINK("http://www.openstreetmap.org/?mlat=34.7701&amp;mlon=43.6428&amp;zoom=12#map=12/34.7701/43.6428","Maplink1")</f>
        <v>Maplink1</v>
      </c>
      <c r="AV1004" s="20" t="str">
        <f>HYPERLINK("https://www.google.iq/maps/search/+34.7701,43.6428/@34.7701,43.6428,14z?hl=en","Maplink2")</f>
        <v>Maplink2</v>
      </c>
      <c r="AW1004" s="20" t="str">
        <f>HYPERLINK("http://www.bing.com/maps/?lvl=14&amp;sty=h&amp;cp=34.7701~43.6428&amp;sp=point.34.7701_43.6428","Maplink3")</f>
        <v>Maplink3</v>
      </c>
    </row>
    <row r="1005" spans="1:49" s="19" customFormat="1" x14ac:dyDescent="0.25">
      <c r="A1005" s="9">
        <v>26034</v>
      </c>
      <c r="B1005" s="10" t="s">
        <v>22</v>
      </c>
      <c r="C1005" s="10" t="s">
        <v>1486</v>
      </c>
      <c r="D1005" s="10" t="s">
        <v>1496</v>
      </c>
      <c r="E1005" s="10" t="s">
        <v>1497</v>
      </c>
      <c r="F1005" s="10">
        <v>34.725764210000001</v>
      </c>
      <c r="G1005" s="10">
        <v>43.63827766</v>
      </c>
      <c r="H1005" s="11">
        <v>390</v>
      </c>
      <c r="I1005" s="11">
        <v>2340</v>
      </c>
      <c r="J1005" s="11"/>
      <c r="K1005" s="11"/>
      <c r="L1005" s="11"/>
      <c r="M1005" s="11"/>
      <c r="N1005" s="11">
        <v>2</v>
      </c>
      <c r="O1005" s="11"/>
      <c r="P1005" s="11">
        <v>61</v>
      </c>
      <c r="Q1005" s="11"/>
      <c r="R1005" s="11">
        <v>76</v>
      </c>
      <c r="S1005" s="11"/>
      <c r="T1005" s="11"/>
      <c r="U1005" s="11"/>
      <c r="V1005" s="11">
        <v>9</v>
      </c>
      <c r="W1005" s="11"/>
      <c r="X1005" s="11">
        <v>205</v>
      </c>
      <c r="Y1005" s="11">
        <v>35</v>
      </c>
      <c r="Z1005" s="11"/>
      <c r="AA1005" s="11">
        <v>2</v>
      </c>
      <c r="AB1005" s="11"/>
      <c r="AC1005" s="11">
        <v>311</v>
      </c>
      <c r="AD1005" s="11">
        <v>29</v>
      </c>
      <c r="AE1005" s="11"/>
      <c r="AF1005" s="11"/>
      <c r="AG1005" s="11"/>
      <c r="AH1005" s="11"/>
      <c r="AI1005" s="11">
        <v>50</v>
      </c>
      <c r="AJ1005" s="11"/>
      <c r="AK1005" s="11"/>
      <c r="AL1005" s="11"/>
      <c r="AM1005" s="11"/>
      <c r="AN1005" s="11">
        <v>180</v>
      </c>
      <c r="AO1005" s="11"/>
      <c r="AP1005" s="11"/>
      <c r="AQ1005" s="11">
        <v>210</v>
      </c>
      <c r="AR1005" s="11"/>
      <c r="AS1005" s="11"/>
      <c r="AT1005" s="11"/>
      <c r="AU1005" s="20" t="str">
        <f>HYPERLINK("http://www.openstreetmap.org/?mlat=34.7258&amp;mlon=43.6383&amp;zoom=12#map=12/34.7258/43.6383","Maplink1")</f>
        <v>Maplink1</v>
      </c>
      <c r="AV1005" s="20" t="str">
        <f>HYPERLINK("https://www.google.iq/maps/search/+34.7258,43.6383/@34.7258,43.6383,14z?hl=en","Maplink2")</f>
        <v>Maplink2</v>
      </c>
      <c r="AW1005" s="20" t="str">
        <f>HYPERLINK("http://www.bing.com/maps/?lvl=14&amp;sty=h&amp;cp=34.7258~43.6383&amp;sp=point.34.7258_43.6383","Maplink3")</f>
        <v>Maplink3</v>
      </c>
    </row>
    <row r="1006" spans="1:49" s="19" customFormat="1" x14ac:dyDescent="0.25">
      <c r="A1006" s="9">
        <v>25894</v>
      </c>
      <c r="B1006" s="10" t="s">
        <v>22</v>
      </c>
      <c r="C1006" s="10" t="s">
        <v>1486</v>
      </c>
      <c r="D1006" s="10" t="s">
        <v>2040</v>
      </c>
      <c r="E1006" s="10" t="s">
        <v>2041</v>
      </c>
      <c r="F1006" s="10">
        <v>34.641241000000001</v>
      </c>
      <c r="G1006" s="10">
        <v>43.900644999999997</v>
      </c>
      <c r="H1006" s="11">
        <v>101</v>
      </c>
      <c r="I1006" s="11">
        <v>606</v>
      </c>
      <c r="J1006" s="11"/>
      <c r="K1006" s="11"/>
      <c r="L1006" s="11"/>
      <c r="M1006" s="11"/>
      <c r="N1006" s="11"/>
      <c r="O1006" s="11"/>
      <c r="P1006" s="11"/>
      <c r="Q1006" s="11"/>
      <c r="R1006" s="11">
        <v>75</v>
      </c>
      <c r="S1006" s="11"/>
      <c r="T1006" s="11"/>
      <c r="U1006" s="11"/>
      <c r="V1006" s="11"/>
      <c r="W1006" s="11"/>
      <c r="X1006" s="11">
        <v>26</v>
      </c>
      <c r="Y1006" s="11"/>
      <c r="Z1006" s="11"/>
      <c r="AA1006" s="11"/>
      <c r="AB1006" s="11"/>
      <c r="AC1006" s="11">
        <v>86</v>
      </c>
      <c r="AD1006" s="11"/>
      <c r="AE1006" s="11"/>
      <c r="AF1006" s="11">
        <v>15</v>
      </c>
      <c r="AG1006" s="11"/>
      <c r="AH1006" s="11"/>
      <c r="AI1006" s="11"/>
      <c r="AJ1006" s="11"/>
      <c r="AK1006" s="11"/>
      <c r="AL1006" s="11"/>
      <c r="AM1006" s="11"/>
      <c r="AN1006" s="11"/>
      <c r="AO1006" s="11">
        <v>75</v>
      </c>
      <c r="AP1006" s="11"/>
      <c r="AQ1006" s="11">
        <v>26</v>
      </c>
      <c r="AR1006" s="11"/>
      <c r="AS1006" s="11"/>
      <c r="AT1006" s="11"/>
      <c r="AU1006" s="20" t="str">
        <f>HYPERLINK("http://www.openstreetmap.org/?mlat=34.6412&amp;mlon=43.9006&amp;zoom=12#map=12/34.6412/43.9006","Maplink1")</f>
        <v>Maplink1</v>
      </c>
      <c r="AV1006" s="20" t="str">
        <f>HYPERLINK("https://www.google.iq/maps/search/+34.6412,43.9006/@34.6412,43.9006,14z?hl=en","Maplink2")</f>
        <v>Maplink2</v>
      </c>
      <c r="AW1006" s="20" t="str">
        <f>HYPERLINK("http://www.bing.com/maps/?lvl=14&amp;sty=h&amp;cp=34.6412~43.9006&amp;sp=point.34.6412_43.9006","Maplink3")</f>
        <v>Maplink3</v>
      </c>
    </row>
    <row r="1007" spans="1:49" s="19" customFormat="1" x14ac:dyDescent="0.25">
      <c r="A1007" s="9">
        <v>24211</v>
      </c>
      <c r="B1007" s="10" t="s">
        <v>22</v>
      </c>
      <c r="C1007" s="10" t="s">
        <v>1486</v>
      </c>
      <c r="D1007" s="10" t="s">
        <v>2042</v>
      </c>
      <c r="E1007" s="10" t="s">
        <v>2043</v>
      </c>
      <c r="F1007" s="10">
        <v>34.6412701199</v>
      </c>
      <c r="G1007" s="10">
        <v>43.900885864899998</v>
      </c>
      <c r="H1007" s="11">
        <v>165</v>
      </c>
      <c r="I1007" s="11">
        <v>990</v>
      </c>
      <c r="J1007" s="11"/>
      <c r="K1007" s="11"/>
      <c r="L1007" s="11"/>
      <c r="M1007" s="11"/>
      <c r="N1007" s="11"/>
      <c r="O1007" s="11"/>
      <c r="P1007" s="11"/>
      <c r="Q1007" s="11"/>
      <c r="R1007" s="11">
        <v>100</v>
      </c>
      <c r="S1007" s="11"/>
      <c r="T1007" s="11"/>
      <c r="U1007" s="11"/>
      <c r="V1007" s="11"/>
      <c r="W1007" s="11"/>
      <c r="X1007" s="11">
        <v>65</v>
      </c>
      <c r="Y1007" s="11"/>
      <c r="Z1007" s="11"/>
      <c r="AA1007" s="11"/>
      <c r="AB1007" s="11"/>
      <c r="AC1007" s="11">
        <v>165</v>
      </c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>
        <v>20</v>
      </c>
      <c r="AO1007" s="11">
        <v>75</v>
      </c>
      <c r="AP1007" s="11">
        <v>70</v>
      </c>
      <c r="AQ1007" s="11"/>
      <c r="AR1007" s="11"/>
      <c r="AS1007" s="11"/>
      <c r="AT1007" s="11"/>
      <c r="AU1007" s="20" t="str">
        <f>HYPERLINK("http://www.openstreetmap.org/?mlat=34.6413&amp;mlon=43.9009&amp;zoom=12#map=12/34.6413/43.9009","Maplink1")</f>
        <v>Maplink1</v>
      </c>
      <c r="AV1007" s="20" t="str">
        <f>HYPERLINK("https://www.google.iq/maps/search/+34.6413,43.9009/@34.6413,43.9009,14z?hl=en","Maplink2")</f>
        <v>Maplink2</v>
      </c>
      <c r="AW1007" s="20" t="str">
        <f>HYPERLINK("http://www.bing.com/maps/?lvl=14&amp;sty=h&amp;cp=34.6413~43.9009&amp;sp=point.34.6413_43.9009","Maplink3")</f>
        <v>Maplink3</v>
      </c>
    </row>
    <row r="1008" spans="1:49" s="19" customFormat="1" x14ac:dyDescent="0.25">
      <c r="A1008" s="9">
        <v>20631</v>
      </c>
      <c r="B1008" s="10" t="s">
        <v>22</v>
      </c>
      <c r="C1008" s="10" t="s">
        <v>1486</v>
      </c>
      <c r="D1008" s="10" t="s">
        <v>2044</v>
      </c>
      <c r="E1008" s="10" t="s">
        <v>1510</v>
      </c>
      <c r="F1008" s="10">
        <v>34.694068590000001</v>
      </c>
      <c r="G1008" s="10">
        <v>43.617256380000001</v>
      </c>
      <c r="H1008" s="11">
        <v>43</v>
      </c>
      <c r="I1008" s="11">
        <v>258</v>
      </c>
      <c r="J1008" s="11"/>
      <c r="K1008" s="11"/>
      <c r="L1008" s="11"/>
      <c r="M1008" s="11"/>
      <c r="N1008" s="11"/>
      <c r="O1008" s="11"/>
      <c r="P1008" s="11">
        <v>8</v>
      </c>
      <c r="Q1008" s="11"/>
      <c r="R1008" s="11">
        <v>35</v>
      </c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>
        <v>43</v>
      </c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>
        <v>43</v>
      </c>
      <c r="AO1008" s="11"/>
      <c r="AP1008" s="11"/>
      <c r="AQ1008" s="11"/>
      <c r="AR1008" s="11"/>
      <c r="AS1008" s="11"/>
      <c r="AT1008" s="11"/>
      <c r="AU1008" s="20" t="str">
        <f>HYPERLINK("http://www.openstreetmap.org/?mlat=34.6941&amp;mlon=43.6173&amp;zoom=12#map=12/34.6941/43.6173","Maplink1")</f>
        <v>Maplink1</v>
      </c>
      <c r="AV1008" s="20" t="str">
        <f>HYPERLINK("https://www.google.iq/maps/search/+34.6941,43.6173/@34.6941,43.6173,14z?hl=en","Maplink2")</f>
        <v>Maplink2</v>
      </c>
      <c r="AW1008" s="20" t="str">
        <f>HYPERLINK("http://www.bing.com/maps/?lvl=14&amp;sty=h&amp;cp=34.6941~43.6173&amp;sp=point.34.6941_43.6173","Maplink3")</f>
        <v>Maplink3</v>
      </c>
    </row>
    <row r="1009" spans="1:49" s="19" customFormat="1" x14ac:dyDescent="0.25">
      <c r="A1009" s="9">
        <v>27231</v>
      </c>
      <c r="B1009" s="10" t="s">
        <v>22</v>
      </c>
      <c r="C1009" s="10" t="s">
        <v>1486</v>
      </c>
      <c r="D1009" s="10" t="s">
        <v>1498</v>
      </c>
      <c r="E1009" s="10" t="s">
        <v>1499</v>
      </c>
      <c r="F1009" s="10">
        <v>34.668206650000002</v>
      </c>
      <c r="G1009" s="10">
        <v>43.725524999999998</v>
      </c>
      <c r="H1009" s="11">
        <v>250</v>
      </c>
      <c r="I1009" s="11">
        <v>1500</v>
      </c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>
        <v>250</v>
      </c>
      <c r="Y1009" s="11"/>
      <c r="Z1009" s="11"/>
      <c r="AA1009" s="11"/>
      <c r="AB1009" s="11"/>
      <c r="AC1009" s="11">
        <v>170</v>
      </c>
      <c r="AD1009" s="11"/>
      <c r="AE1009" s="11"/>
      <c r="AF1009" s="11"/>
      <c r="AG1009" s="11"/>
      <c r="AH1009" s="11"/>
      <c r="AI1009" s="11">
        <v>80</v>
      </c>
      <c r="AJ1009" s="11"/>
      <c r="AK1009" s="11"/>
      <c r="AL1009" s="11"/>
      <c r="AM1009" s="11"/>
      <c r="AN1009" s="11">
        <v>150</v>
      </c>
      <c r="AO1009" s="11">
        <v>100</v>
      </c>
      <c r="AP1009" s="11"/>
      <c r="AQ1009" s="11"/>
      <c r="AR1009" s="11"/>
      <c r="AS1009" s="11"/>
      <c r="AT1009" s="11"/>
      <c r="AU1009" s="20" t="str">
        <f>HYPERLINK("http://www.openstreetmap.org/?mlat=34.6682&amp;mlon=43.7255&amp;zoom=12#map=12/34.6682/43.7255","Maplink1")</f>
        <v>Maplink1</v>
      </c>
      <c r="AV1009" s="20" t="str">
        <f>HYPERLINK("https://www.google.iq/maps/search/+34.6682,43.7255/@34.6682,43.7255,14z?hl=en","Maplink2")</f>
        <v>Maplink2</v>
      </c>
      <c r="AW1009" s="20" t="str">
        <f>HYPERLINK("http://www.bing.com/maps/?lvl=14&amp;sty=h&amp;cp=34.6682~43.7255&amp;sp=point.34.6682_43.7255","Maplink3")</f>
        <v>Maplink3</v>
      </c>
    </row>
    <row r="1010" spans="1:49" s="19" customFormat="1" x14ac:dyDescent="0.25">
      <c r="A1010" s="9">
        <v>21357</v>
      </c>
      <c r="B1010" s="10" t="s">
        <v>22</v>
      </c>
      <c r="C1010" s="10" t="s">
        <v>1486</v>
      </c>
      <c r="D1010" s="10" t="s">
        <v>1500</v>
      </c>
      <c r="E1010" s="10" t="s">
        <v>1501</v>
      </c>
      <c r="F1010" s="10">
        <v>34.457985078900002</v>
      </c>
      <c r="G1010" s="10">
        <v>43.7267232779</v>
      </c>
      <c r="H1010" s="11">
        <v>1268</v>
      </c>
      <c r="I1010" s="11">
        <v>7608</v>
      </c>
      <c r="J1010" s="11"/>
      <c r="K1010" s="11"/>
      <c r="L1010" s="11">
        <v>57</v>
      </c>
      <c r="M1010" s="11">
        <v>12</v>
      </c>
      <c r="N1010" s="11">
        <v>55</v>
      </c>
      <c r="O1010" s="11"/>
      <c r="P1010" s="11">
        <v>225</v>
      </c>
      <c r="Q1010" s="11"/>
      <c r="R1010" s="11">
        <v>593</v>
      </c>
      <c r="S1010" s="11"/>
      <c r="T1010" s="11"/>
      <c r="U1010" s="11"/>
      <c r="V1010" s="11"/>
      <c r="W1010" s="11"/>
      <c r="X1010" s="11">
        <v>326</v>
      </c>
      <c r="Y1010" s="11"/>
      <c r="Z1010" s="11"/>
      <c r="AA1010" s="11"/>
      <c r="AB1010" s="11"/>
      <c r="AC1010" s="11">
        <v>1205</v>
      </c>
      <c r="AD1010" s="11"/>
      <c r="AE1010" s="11"/>
      <c r="AF1010" s="11"/>
      <c r="AG1010" s="11"/>
      <c r="AH1010" s="11"/>
      <c r="AI1010" s="11">
        <v>63</v>
      </c>
      <c r="AJ1010" s="11"/>
      <c r="AK1010" s="11"/>
      <c r="AL1010" s="11"/>
      <c r="AM1010" s="11"/>
      <c r="AN1010" s="11">
        <v>1268</v>
      </c>
      <c r="AO1010" s="11"/>
      <c r="AP1010" s="11"/>
      <c r="AQ1010" s="11"/>
      <c r="AR1010" s="11"/>
      <c r="AS1010" s="11"/>
      <c r="AT1010" s="11"/>
      <c r="AU1010" s="20" t="str">
        <f>HYPERLINK("http://www.openstreetmap.org/?mlat=34.458&amp;mlon=43.7267&amp;zoom=12#map=12/34.458/43.7267","Maplink1")</f>
        <v>Maplink1</v>
      </c>
      <c r="AV1010" s="20" t="str">
        <f>HYPERLINK("https://www.google.iq/maps/search/+34.458,43.7267/@34.458,43.7267,14z?hl=en","Maplink2")</f>
        <v>Maplink2</v>
      </c>
      <c r="AW1010" s="20" t="str">
        <f>HYPERLINK("http://www.bing.com/maps/?lvl=14&amp;sty=h&amp;cp=34.458~43.7267&amp;sp=point.34.458_43.7267","Maplink3")</f>
        <v>Maplink3</v>
      </c>
    </row>
    <row r="1011" spans="1:49" s="19" customFormat="1" x14ac:dyDescent="0.25">
      <c r="A1011" s="9">
        <v>29589</v>
      </c>
      <c r="B1011" s="10" t="s">
        <v>22</v>
      </c>
      <c r="C1011" s="10" t="s">
        <v>1486</v>
      </c>
      <c r="D1011" s="10" t="s">
        <v>1502</v>
      </c>
      <c r="E1011" s="10" t="s">
        <v>1503</v>
      </c>
      <c r="F1011" s="10">
        <v>34.635867504399997</v>
      </c>
      <c r="G1011" s="10">
        <v>43.703866498499998</v>
      </c>
      <c r="H1011" s="11">
        <v>335</v>
      </c>
      <c r="I1011" s="11">
        <v>2010</v>
      </c>
      <c r="J1011" s="11"/>
      <c r="K1011" s="11"/>
      <c r="L1011" s="11">
        <v>24</v>
      </c>
      <c r="M1011" s="11"/>
      <c r="N1011" s="11"/>
      <c r="O1011" s="11"/>
      <c r="P1011" s="11">
        <v>50</v>
      </c>
      <c r="Q1011" s="11"/>
      <c r="R1011" s="11">
        <v>35</v>
      </c>
      <c r="S1011" s="11"/>
      <c r="T1011" s="11"/>
      <c r="U1011" s="11"/>
      <c r="V1011" s="11"/>
      <c r="W1011" s="11"/>
      <c r="X1011" s="11">
        <v>220</v>
      </c>
      <c r="Y1011" s="11">
        <v>6</v>
      </c>
      <c r="Z1011" s="11"/>
      <c r="AA1011" s="11"/>
      <c r="AB1011" s="11"/>
      <c r="AC1011" s="11">
        <v>335</v>
      </c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>
        <v>150</v>
      </c>
      <c r="AO1011" s="11">
        <v>130</v>
      </c>
      <c r="AP1011" s="11">
        <v>55</v>
      </c>
      <c r="AQ1011" s="11"/>
      <c r="AR1011" s="11"/>
      <c r="AS1011" s="11"/>
      <c r="AT1011" s="11"/>
      <c r="AU1011" s="20" t="str">
        <f>HYPERLINK("http://www.openstreetmap.org/?mlat=34.6359&amp;mlon=43.7039&amp;zoom=12#map=12/34.6359/43.7039","Maplink1")</f>
        <v>Maplink1</v>
      </c>
      <c r="AV1011" s="20" t="str">
        <f>HYPERLINK("https://www.google.iq/maps/search/+34.6359,43.7039/@34.6359,43.7039,14z?hl=en","Maplink2")</f>
        <v>Maplink2</v>
      </c>
      <c r="AW1011" s="20" t="str">
        <f>HYPERLINK("http://www.bing.com/maps/?lvl=14&amp;sty=h&amp;cp=34.6359~43.7039&amp;sp=point.34.6359_43.7039","Maplink3")</f>
        <v>Maplink3</v>
      </c>
    </row>
    <row r="1012" spans="1:49" s="19" customFormat="1" x14ac:dyDescent="0.25">
      <c r="A1012" s="9">
        <v>23525</v>
      </c>
      <c r="B1012" s="10" t="s">
        <v>22</v>
      </c>
      <c r="C1012" s="10" t="s">
        <v>1486</v>
      </c>
      <c r="D1012" s="10" t="s">
        <v>1504</v>
      </c>
      <c r="E1012" s="10" t="s">
        <v>1505</v>
      </c>
      <c r="F1012" s="10">
        <v>34.69476908</v>
      </c>
      <c r="G1012" s="10">
        <v>43.634281430000001</v>
      </c>
      <c r="H1012" s="11">
        <v>20</v>
      </c>
      <c r="I1012" s="11">
        <v>120</v>
      </c>
      <c r="J1012" s="11"/>
      <c r="K1012" s="11"/>
      <c r="L1012" s="11"/>
      <c r="M1012" s="11"/>
      <c r="N1012" s="11"/>
      <c r="O1012" s="11"/>
      <c r="P1012" s="11"/>
      <c r="Q1012" s="11"/>
      <c r="R1012" s="11">
        <v>20</v>
      </c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>
        <v>20</v>
      </c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>
        <v>10</v>
      </c>
      <c r="AO1012" s="11">
        <v>10</v>
      </c>
      <c r="AP1012" s="11"/>
      <c r="AQ1012" s="11"/>
      <c r="AR1012" s="11"/>
      <c r="AS1012" s="11"/>
      <c r="AT1012" s="11"/>
      <c r="AU1012" s="20" t="str">
        <f>HYPERLINK("http://www.openstreetmap.org/?mlat=34.6948&amp;mlon=43.6343&amp;zoom=12#map=12/34.6948/43.6343","Maplink1")</f>
        <v>Maplink1</v>
      </c>
      <c r="AV1012" s="20" t="str">
        <f>HYPERLINK("https://www.google.iq/maps/search/+34.6948,43.6343/@34.6948,43.6343,14z?hl=en","Maplink2")</f>
        <v>Maplink2</v>
      </c>
      <c r="AW1012" s="20" t="str">
        <f>HYPERLINK("http://www.bing.com/maps/?lvl=14&amp;sty=h&amp;cp=34.6948~43.6343&amp;sp=point.34.6948_43.6343","Maplink3")</f>
        <v>Maplink3</v>
      </c>
    </row>
    <row r="1013" spans="1:49" s="19" customFormat="1" x14ac:dyDescent="0.25">
      <c r="A1013" s="9">
        <v>28419</v>
      </c>
      <c r="B1013" s="10" t="s">
        <v>22</v>
      </c>
      <c r="C1013" s="10" t="s">
        <v>1486</v>
      </c>
      <c r="D1013" s="10" t="s">
        <v>1506</v>
      </c>
      <c r="E1013" s="10" t="s">
        <v>1507</v>
      </c>
      <c r="F1013" s="10">
        <v>34.714219565500002</v>
      </c>
      <c r="G1013" s="10">
        <v>43.612539041799998</v>
      </c>
      <c r="H1013" s="11">
        <v>130</v>
      </c>
      <c r="I1013" s="11">
        <v>780</v>
      </c>
      <c r="J1013" s="11"/>
      <c r="K1013" s="11"/>
      <c r="L1013" s="11"/>
      <c r="M1013" s="11"/>
      <c r="N1013" s="11"/>
      <c r="O1013" s="11"/>
      <c r="P1013" s="11"/>
      <c r="Q1013" s="11"/>
      <c r="R1013" s="11">
        <v>130</v>
      </c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>
        <v>80</v>
      </c>
      <c r="AD1013" s="11"/>
      <c r="AE1013" s="11"/>
      <c r="AF1013" s="11">
        <v>50</v>
      </c>
      <c r="AG1013" s="11"/>
      <c r="AH1013" s="11"/>
      <c r="AI1013" s="11"/>
      <c r="AJ1013" s="11"/>
      <c r="AK1013" s="11"/>
      <c r="AL1013" s="11"/>
      <c r="AM1013" s="11"/>
      <c r="AN1013" s="11">
        <v>130</v>
      </c>
      <c r="AO1013" s="11"/>
      <c r="AP1013" s="11"/>
      <c r="AQ1013" s="11"/>
      <c r="AR1013" s="11"/>
      <c r="AS1013" s="11"/>
      <c r="AT1013" s="11"/>
      <c r="AU1013" s="20" t="str">
        <f>HYPERLINK("http://www.openstreetmap.org/?mlat=34.7142&amp;mlon=43.6125&amp;zoom=12#map=12/34.7142/43.6125","Maplink1")</f>
        <v>Maplink1</v>
      </c>
      <c r="AV1013" s="20" t="str">
        <f>HYPERLINK("https://www.google.iq/maps/search/+34.7142,43.6125/@34.7142,43.6125,14z?hl=en","Maplink2")</f>
        <v>Maplink2</v>
      </c>
      <c r="AW1013" s="20" t="str">
        <f>HYPERLINK("http://www.bing.com/maps/?lvl=14&amp;sty=h&amp;cp=34.7142~43.6125&amp;sp=point.34.7142_43.6125","Maplink3")</f>
        <v>Maplink3</v>
      </c>
    </row>
    <row r="1014" spans="1:49" s="19" customFormat="1" x14ac:dyDescent="0.25">
      <c r="A1014" s="9">
        <v>23918</v>
      </c>
      <c r="B1014" s="10" t="s">
        <v>22</v>
      </c>
      <c r="C1014" s="10" t="s">
        <v>1486</v>
      </c>
      <c r="D1014" s="10" t="s">
        <v>1508</v>
      </c>
      <c r="E1014" s="10" t="s">
        <v>1509</v>
      </c>
      <c r="F1014" s="10">
        <v>34.627451280000002</v>
      </c>
      <c r="G1014" s="10">
        <v>43.669864750000002</v>
      </c>
      <c r="H1014" s="11">
        <v>755</v>
      </c>
      <c r="I1014" s="11">
        <v>4530</v>
      </c>
      <c r="J1014" s="11"/>
      <c r="K1014" s="11"/>
      <c r="L1014" s="11">
        <v>28</v>
      </c>
      <c r="M1014" s="11"/>
      <c r="N1014" s="11">
        <v>2</v>
      </c>
      <c r="O1014" s="11"/>
      <c r="P1014" s="11">
        <v>200</v>
      </c>
      <c r="Q1014" s="11"/>
      <c r="R1014" s="11">
        <v>206</v>
      </c>
      <c r="S1014" s="11"/>
      <c r="T1014" s="11"/>
      <c r="U1014" s="11"/>
      <c r="V1014" s="11"/>
      <c r="W1014" s="11"/>
      <c r="X1014" s="11">
        <v>211</v>
      </c>
      <c r="Y1014" s="11">
        <v>108</v>
      </c>
      <c r="Z1014" s="11"/>
      <c r="AA1014" s="11"/>
      <c r="AB1014" s="11"/>
      <c r="AC1014" s="11">
        <v>685</v>
      </c>
      <c r="AD1014" s="11">
        <v>70</v>
      </c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>
        <v>502</v>
      </c>
      <c r="AP1014" s="11">
        <v>253</v>
      </c>
      <c r="AQ1014" s="11"/>
      <c r="AR1014" s="11"/>
      <c r="AS1014" s="11"/>
      <c r="AT1014" s="11"/>
      <c r="AU1014" s="20" t="str">
        <f>HYPERLINK("http://www.openstreetmap.org/?mlat=34.6275&amp;mlon=43.6699&amp;zoom=12#map=12/34.6275/43.6699","Maplink1")</f>
        <v>Maplink1</v>
      </c>
      <c r="AV1014" s="20" t="str">
        <f>HYPERLINK("https://www.google.iq/maps/search/+34.6275,43.6699/@34.6275,43.6699,14z?hl=en","Maplink2")</f>
        <v>Maplink2</v>
      </c>
      <c r="AW1014" s="20" t="str">
        <f>HYPERLINK("http://www.bing.com/maps/?lvl=14&amp;sty=h&amp;cp=34.6275~43.6699&amp;sp=point.34.6275_43.6699","Maplink3")</f>
        <v>Maplink3</v>
      </c>
    </row>
    <row r="1015" spans="1:49" s="19" customFormat="1" x14ac:dyDescent="0.25">
      <c r="A1015" s="9">
        <v>20630</v>
      </c>
      <c r="B1015" s="10" t="s">
        <v>22</v>
      </c>
      <c r="C1015" s="10" t="s">
        <v>1486</v>
      </c>
      <c r="D1015" s="10" t="s">
        <v>1511</v>
      </c>
      <c r="E1015" s="10" t="s">
        <v>1512</v>
      </c>
      <c r="F1015" s="10">
        <v>34.693582999999997</v>
      </c>
      <c r="G1015" s="10">
        <v>43.625877000000003</v>
      </c>
      <c r="H1015" s="11">
        <v>218</v>
      </c>
      <c r="I1015" s="11">
        <v>1308</v>
      </c>
      <c r="J1015" s="11"/>
      <c r="K1015" s="11"/>
      <c r="L1015" s="11"/>
      <c r="M1015" s="11"/>
      <c r="N1015" s="11"/>
      <c r="O1015" s="11"/>
      <c r="P1015" s="11">
        <v>11</v>
      </c>
      <c r="Q1015" s="11"/>
      <c r="R1015" s="11">
        <v>198</v>
      </c>
      <c r="S1015" s="11"/>
      <c r="T1015" s="11"/>
      <c r="U1015" s="11"/>
      <c r="V1015" s="11"/>
      <c r="W1015" s="11"/>
      <c r="X1015" s="11">
        <v>9</v>
      </c>
      <c r="Y1015" s="11"/>
      <c r="Z1015" s="11"/>
      <c r="AA1015" s="11"/>
      <c r="AB1015" s="11"/>
      <c r="AC1015" s="11">
        <v>218</v>
      </c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>
        <v>218</v>
      </c>
      <c r="AO1015" s="11"/>
      <c r="AP1015" s="11"/>
      <c r="AQ1015" s="11"/>
      <c r="AR1015" s="11"/>
      <c r="AS1015" s="11"/>
      <c r="AT1015" s="11"/>
      <c r="AU1015" s="20" t="str">
        <f>HYPERLINK("http://www.openstreetmap.org/?mlat=34.6936&amp;mlon=43.6259&amp;zoom=12#map=12/34.6936/43.6259","Maplink1")</f>
        <v>Maplink1</v>
      </c>
      <c r="AV1015" s="20" t="str">
        <f>HYPERLINK("https://www.google.iq/maps/search/+34.6936,43.6259/@34.6936,43.6259,14z?hl=en","Maplink2")</f>
        <v>Maplink2</v>
      </c>
      <c r="AW1015" s="20" t="str">
        <f>HYPERLINK("http://www.bing.com/maps/?lvl=14&amp;sty=h&amp;cp=34.6936~43.6259&amp;sp=point.34.6936_43.6259","Maplink3")</f>
        <v>Maplink3</v>
      </c>
    </row>
    <row r="1016" spans="1:49" s="19" customFormat="1" x14ac:dyDescent="0.25">
      <c r="A1016" s="9">
        <v>25984</v>
      </c>
      <c r="B1016" s="10" t="s">
        <v>22</v>
      </c>
      <c r="C1016" s="10" t="s">
        <v>1486</v>
      </c>
      <c r="D1016" s="10" t="s">
        <v>1513</v>
      </c>
      <c r="E1016" s="10" t="s">
        <v>1514</v>
      </c>
      <c r="F1016" s="10">
        <v>34.787411599999999</v>
      </c>
      <c r="G1016" s="10">
        <v>43.626029209999999</v>
      </c>
      <c r="H1016" s="11">
        <v>200</v>
      </c>
      <c r="I1016" s="11">
        <v>1200</v>
      </c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>
        <v>200</v>
      </c>
      <c r="Y1016" s="11"/>
      <c r="Z1016" s="11"/>
      <c r="AA1016" s="11"/>
      <c r="AB1016" s="11"/>
      <c r="AC1016" s="11">
        <v>200</v>
      </c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>
        <v>200</v>
      </c>
      <c r="AQ1016" s="11"/>
      <c r="AR1016" s="11"/>
      <c r="AS1016" s="11"/>
      <c r="AT1016" s="11"/>
      <c r="AU1016" s="20" t="str">
        <f>HYPERLINK("http://www.openstreetmap.org/?mlat=34.7874&amp;mlon=43.626&amp;zoom=12#map=12/34.7874/43.626","Maplink1")</f>
        <v>Maplink1</v>
      </c>
      <c r="AV1016" s="20" t="str">
        <f>HYPERLINK("https://www.google.iq/maps/search/+34.7874,43.626/@34.7874,43.626,14z?hl=en","Maplink2")</f>
        <v>Maplink2</v>
      </c>
      <c r="AW1016" s="20" t="str">
        <f>HYPERLINK("http://www.bing.com/maps/?lvl=14&amp;sty=h&amp;cp=34.7874~43.626&amp;sp=point.34.7874_43.626","Maplink3")</f>
        <v>Maplink3</v>
      </c>
    </row>
    <row r="1017" spans="1:49" s="19" customFormat="1" x14ac:dyDescent="0.25">
      <c r="A1017" s="9">
        <v>24248</v>
      </c>
      <c r="B1017" s="10" t="s">
        <v>22</v>
      </c>
      <c r="C1017" s="10" t="s">
        <v>1486</v>
      </c>
      <c r="D1017" s="10" t="s">
        <v>1515</v>
      </c>
      <c r="E1017" s="10" t="s">
        <v>1516</v>
      </c>
      <c r="F1017" s="10">
        <v>34.679689000000003</v>
      </c>
      <c r="G1017" s="10">
        <v>43.716175</v>
      </c>
      <c r="H1017" s="11">
        <v>860</v>
      </c>
      <c r="I1017" s="11">
        <v>5160</v>
      </c>
      <c r="J1017" s="11"/>
      <c r="K1017" s="11"/>
      <c r="L1017" s="11"/>
      <c r="M1017" s="11"/>
      <c r="N1017" s="11"/>
      <c r="O1017" s="11"/>
      <c r="P1017" s="11">
        <v>85</v>
      </c>
      <c r="Q1017" s="11"/>
      <c r="R1017" s="11">
        <v>480</v>
      </c>
      <c r="S1017" s="11"/>
      <c r="T1017" s="11"/>
      <c r="U1017" s="11"/>
      <c r="V1017" s="11"/>
      <c r="W1017" s="11"/>
      <c r="X1017" s="11">
        <v>255</v>
      </c>
      <c r="Y1017" s="11">
        <v>40</v>
      </c>
      <c r="Z1017" s="11"/>
      <c r="AA1017" s="11"/>
      <c r="AB1017" s="11"/>
      <c r="AC1017" s="11">
        <v>860</v>
      </c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>
        <v>250</v>
      </c>
      <c r="AO1017" s="11">
        <v>190</v>
      </c>
      <c r="AP1017" s="11">
        <v>420</v>
      </c>
      <c r="AQ1017" s="11"/>
      <c r="AR1017" s="11"/>
      <c r="AS1017" s="11"/>
      <c r="AT1017" s="11"/>
      <c r="AU1017" s="20" t="str">
        <f>HYPERLINK("http://www.openstreetmap.org/?mlat=34.6797&amp;mlon=43.7162&amp;zoom=12#map=12/34.6797/43.7162","Maplink1")</f>
        <v>Maplink1</v>
      </c>
      <c r="AV1017" s="20" t="str">
        <f>HYPERLINK("https://www.google.iq/maps/search/+34.6797,43.7162/@34.6797,43.7162,14z?hl=en","Maplink2")</f>
        <v>Maplink2</v>
      </c>
      <c r="AW1017" s="20" t="str">
        <f>HYPERLINK("http://www.bing.com/maps/?lvl=14&amp;sty=h&amp;cp=34.6797~43.7162&amp;sp=point.34.6797_43.7162","Maplink3")</f>
        <v>Maplink3</v>
      </c>
    </row>
    <row r="1018" spans="1:49" s="19" customFormat="1" x14ac:dyDescent="0.25">
      <c r="A1018" s="9">
        <v>20618</v>
      </c>
      <c r="B1018" s="10" t="s">
        <v>22</v>
      </c>
      <c r="C1018" s="10" t="s">
        <v>1486</v>
      </c>
      <c r="D1018" s="10" t="s">
        <v>2045</v>
      </c>
      <c r="E1018" s="10" t="s">
        <v>1517</v>
      </c>
      <c r="F1018" s="10">
        <v>34.700996000000004</v>
      </c>
      <c r="G1018" s="10">
        <v>43.616549999999997</v>
      </c>
      <c r="H1018" s="11">
        <v>255</v>
      </c>
      <c r="I1018" s="11">
        <v>1530</v>
      </c>
      <c r="J1018" s="11"/>
      <c r="K1018" s="11"/>
      <c r="L1018" s="11">
        <v>44</v>
      </c>
      <c r="M1018" s="11"/>
      <c r="N1018" s="11"/>
      <c r="O1018" s="11">
        <v>2</v>
      </c>
      <c r="P1018" s="11">
        <v>13</v>
      </c>
      <c r="Q1018" s="11"/>
      <c r="R1018" s="11">
        <v>179</v>
      </c>
      <c r="S1018" s="11"/>
      <c r="T1018" s="11"/>
      <c r="U1018" s="11"/>
      <c r="V1018" s="11"/>
      <c r="W1018" s="11"/>
      <c r="X1018" s="11">
        <v>11</v>
      </c>
      <c r="Y1018" s="11">
        <v>6</v>
      </c>
      <c r="Z1018" s="11"/>
      <c r="AA1018" s="11"/>
      <c r="AB1018" s="11"/>
      <c r="AC1018" s="11">
        <v>255</v>
      </c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>
        <v>251</v>
      </c>
      <c r="AO1018" s="11"/>
      <c r="AP1018" s="11">
        <v>4</v>
      </c>
      <c r="AQ1018" s="11"/>
      <c r="AR1018" s="11"/>
      <c r="AS1018" s="11"/>
      <c r="AT1018" s="11"/>
      <c r="AU1018" s="20" t="str">
        <f>HYPERLINK("http://www.openstreetmap.org/?mlat=34.701&amp;mlon=43.6165&amp;zoom=12#map=12/34.701/43.6165","Maplink1")</f>
        <v>Maplink1</v>
      </c>
      <c r="AV1018" s="20" t="str">
        <f>HYPERLINK("https://www.google.iq/maps/search/+34.701,43.6165/@34.701,43.6165,14z?hl=en","Maplink2")</f>
        <v>Maplink2</v>
      </c>
      <c r="AW1018" s="20" t="str">
        <f>HYPERLINK("http://www.bing.com/maps/?lvl=14&amp;sty=h&amp;cp=34.701~43.6165&amp;sp=point.34.701_43.6165","Maplink3")</f>
        <v>Maplink3</v>
      </c>
    </row>
    <row r="1019" spans="1:49" s="19" customFormat="1" x14ac:dyDescent="0.25">
      <c r="A1019" s="9">
        <v>20624</v>
      </c>
      <c r="B1019" s="10" t="s">
        <v>22</v>
      </c>
      <c r="C1019" s="10" t="s">
        <v>1486</v>
      </c>
      <c r="D1019" s="10" t="s">
        <v>2046</v>
      </c>
      <c r="E1019" s="10" t="s">
        <v>2047</v>
      </c>
      <c r="F1019" s="10">
        <v>34.582677920000002</v>
      </c>
      <c r="G1019" s="10">
        <v>43.68829058</v>
      </c>
      <c r="H1019" s="11">
        <v>415</v>
      </c>
      <c r="I1019" s="11">
        <v>2490</v>
      </c>
      <c r="J1019" s="11"/>
      <c r="K1019" s="11"/>
      <c r="L1019" s="11">
        <v>154</v>
      </c>
      <c r="M1019" s="11"/>
      <c r="N1019" s="11"/>
      <c r="O1019" s="11"/>
      <c r="P1019" s="11">
        <v>103</v>
      </c>
      <c r="Q1019" s="11"/>
      <c r="R1019" s="11">
        <v>94</v>
      </c>
      <c r="S1019" s="11"/>
      <c r="T1019" s="11"/>
      <c r="U1019" s="11"/>
      <c r="V1019" s="11"/>
      <c r="W1019" s="11"/>
      <c r="X1019" s="11">
        <v>39</v>
      </c>
      <c r="Y1019" s="11">
        <v>25</v>
      </c>
      <c r="Z1019" s="11"/>
      <c r="AA1019" s="11"/>
      <c r="AB1019" s="11"/>
      <c r="AC1019" s="11">
        <v>335</v>
      </c>
      <c r="AD1019" s="11"/>
      <c r="AE1019" s="11"/>
      <c r="AF1019" s="11"/>
      <c r="AG1019" s="11"/>
      <c r="AH1019" s="11"/>
      <c r="AI1019" s="11">
        <v>80</v>
      </c>
      <c r="AJ1019" s="11"/>
      <c r="AK1019" s="11"/>
      <c r="AL1019" s="11"/>
      <c r="AM1019" s="11"/>
      <c r="AN1019" s="11">
        <v>389</v>
      </c>
      <c r="AO1019" s="11">
        <v>26</v>
      </c>
      <c r="AP1019" s="11"/>
      <c r="AQ1019" s="11"/>
      <c r="AR1019" s="11"/>
      <c r="AS1019" s="11"/>
      <c r="AT1019" s="11"/>
      <c r="AU1019" s="20" t="str">
        <f>HYPERLINK("http://www.openstreetmap.org/?mlat=34.5827&amp;mlon=43.6883&amp;zoom=12#map=12/34.5827/43.6883","Maplink1")</f>
        <v>Maplink1</v>
      </c>
      <c r="AV1019" s="20" t="str">
        <f>HYPERLINK("https://www.google.iq/maps/search/+34.5827,43.6883/@34.5827,43.6883,14z?hl=en","Maplink2")</f>
        <v>Maplink2</v>
      </c>
      <c r="AW1019" s="20" t="str">
        <f>HYPERLINK("http://www.bing.com/maps/?lvl=14&amp;sty=h&amp;cp=34.5827~43.6883&amp;sp=point.34.5827_43.6883","Maplink3")</f>
        <v>Maplink3</v>
      </c>
    </row>
    <row r="1020" spans="1:49" s="19" customFormat="1" x14ac:dyDescent="0.25">
      <c r="A1020" s="9">
        <v>23301</v>
      </c>
      <c r="B1020" s="10" t="s">
        <v>22</v>
      </c>
      <c r="C1020" s="10" t="s">
        <v>1486</v>
      </c>
      <c r="D1020" s="10" t="s">
        <v>2048</v>
      </c>
      <c r="E1020" s="10" t="s">
        <v>2049</v>
      </c>
      <c r="F1020" s="10">
        <v>34.573701999999997</v>
      </c>
      <c r="G1020" s="10">
        <v>43.6828547</v>
      </c>
      <c r="H1020" s="11">
        <v>485</v>
      </c>
      <c r="I1020" s="11">
        <v>2910</v>
      </c>
      <c r="J1020" s="11"/>
      <c r="K1020" s="11"/>
      <c r="L1020" s="11">
        <v>37</v>
      </c>
      <c r="M1020" s="11"/>
      <c r="N1020" s="11">
        <v>25</v>
      </c>
      <c r="O1020" s="11"/>
      <c r="P1020" s="11">
        <v>140</v>
      </c>
      <c r="Q1020" s="11"/>
      <c r="R1020" s="11">
        <v>181</v>
      </c>
      <c r="S1020" s="11"/>
      <c r="T1020" s="11"/>
      <c r="U1020" s="11"/>
      <c r="V1020" s="11"/>
      <c r="W1020" s="11"/>
      <c r="X1020" s="11">
        <v>70</v>
      </c>
      <c r="Y1020" s="11">
        <v>32</v>
      </c>
      <c r="Z1020" s="11"/>
      <c r="AA1020" s="11"/>
      <c r="AB1020" s="11"/>
      <c r="AC1020" s="11">
        <v>452</v>
      </c>
      <c r="AD1020" s="11"/>
      <c r="AE1020" s="11"/>
      <c r="AF1020" s="11"/>
      <c r="AG1020" s="11"/>
      <c r="AH1020" s="11"/>
      <c r="AI1020" s="11">
        <v>33</v>
      </c>
      <c r="AJ1020" s="11"/>
      <c r="AK1020" s="11"/>
      <c r="AL1020" s="11"/>
      <c r="AM1020" s="11"/>
      <c r="AN1020" s="11">
        <v>250</v>
      </c>
      <c r="AO1020" s="11">
        <v>200</v>
      </c>
      <c r="AP1020" s="11">
        <v>35</v>
      </c>
      <c r="AQ1020" s="11"/>
      <c r="AR1020" s="11"/>
      <c r="AS1020" s="11"/>
      <c r="AT1020" s="11"/>
      <c r="AU1020" s="20" t="str">
        <f>HYPERLINK("http://www.openstreetmap.org/?mlat=34.5737&amp;mlon=43.6829&amp;zoom=12#map=12/34.5737/43.6829","Maplink1")</f>
        <v>Maplink1</v>
      </c>
      <c r="AV1020" s="20" t="str">
        <f>HYPERLINK("https://www.google.iq/maps/search/+34.5737,43.6829/@34.5737,43.6829,14z?hl=en","Maplink2")</f>
        <v>Maplink2</v>
      </c>
      <c r="AW1020" s="20" t="str">
        <f>HYPERLINK("http://www.bing.com/maps/?lvl=14&amp;sty=h&amp;cp=34.5737~43.6829&amp;sp=point.34.5737_43.6829","Maplink3")</f>
        <v>Maplink3</v>
      </c>
    </row>
    <row r="1021" spans="1:49" s="19" customFormat="1" x14ac:dyDescent="0.25">
      <c r="A1021" s="9">
        <v>23244</v>
      </c>
      <c r="B1021" s="10" t="s">
        <v>22</v>
      </c>
      <c r="C1021" s="10" t="s">
        <v>1486</v>
      </c>
      <c r="D1021" s="10" t="s">
        <v>167</v>
      </c>
      <c r="E1021" s="10" t="s">
        <v>168</v>
      </c>
      <c r="F1021" s="10">
        <v>34.6864536</v>
      </c>
      <c r="G1021" s="10">
        <v>43.716350300000002</v>
      </c>
      <c r="H1021" s="11">
        <v>292</v>
      </c>
      <c r="I1021" s="11">
        <v>1752</v>
      </c>
      <c r="J1021" s="11"/>
      <c r="K1021" s="11"/>
      <c r="L1021" s="11">
        <v>14</v>
      </c>
      <c r="M1021" s="11"/>
      <c r="N1021" s="11"/>
      <c r="O1021" s="11"/>
      <c r="P1021" s="11">
        <v>29</v>
      </c>
      <c r="Q1021" s="11"/>
      <c r="R1021" s="11">
        <v>116</v>
      </c>
      <c r="S1021" s="11"/>
      <c r="T1021" s="11"/>
      <c r="U1021" s="11"/>
      <c r="V1021" s="11"/>
      <c r="W1021" s="11"/>
      <c r="X1021" s="11">
        <v>133</v>
      </c>
      <c r="Y1021" s="11"/>
      <c r="Z1021" s="11"/>
      <c r="AA1021" s="11"/>
      <c r="AB1021" s="11"/>
      <c r="AC1021" s="11">
        <v>280</v>
      </c>
      <c r="AD1021" s="11"/>
      <c r="AE1021" s="11"/>
      <c r="AF1021" s="11"/>
      <c r="AG1021" s="11"/>
      <c r="AH1021" s="11"/>
      <c r="AI1021" s="11">
        <v>12</v>
      </c>
      <c r="AJ1021" s="11"/>
      <c r="AK1021" s="11"/>
      <c r="AL1021" s="11"/>
      <c r="AM1021" s="11"/>
      <c r="AN1021" s="11">
        <v>280</v>
      </c>
      <c r="AO1021" s="11">
        <v>12</v>
      </c>
      <c r="AP1021" s="11"/>
      <c r="AQ1021" s="11"/>
      <c r="AR1021" s="11"/>
      <c r="AS1021" s="11"/>
      <c r="AT1021" s="11"/>
      <c r="AU1021" s="20" t="str">
        <f>HYPERLINK("http://www.openstreetmap.org/?mlat=34.6865&amp;mlon=43.7164&amp;zoom=12#map=12/34.6865/43.7164","Maplink1")</f>
        <v>Maplink1</v>
      </c>
      <c r="AV1021" s="20" t="str">
        <f>HYPERLINK("https://www.google.iq/maps/search/+34.6865,43.7164/@34.6865,43.7164,14z?hl=en","Maplink2")</f>
        <v>Maplink2</v>
      </c>
      <c r="AW1021" s="20" t="str">
        <f>HYPERLINK("http://www.bing.com/maps/?lvl=14&amp;sty=h&amp;cp=34.6865~43.7164&amp;sp=point.34.6865_43.7164","Maplink3")</f>
        <v>Maplink3</v>
      </c>
    </row>
    <row r="1022" spans="1:49" s="19" customFormat="1" x14ac:dyDescent="0.25">
      <c r="A1022" s="9">
        <v>23206</v>
      </c>
      <c r="B1022" s="10" t="s">
        <v>22</v>
      </c>
      <c r="C1022" s="10" t="s">
        <v>1486</v>
      </c>
      <c r="D1022" s="10" t="s">
        <v>1519</v>
      </c>
      <c r="E1022" s="10" t="s">
        <v>2050</v>
      </c>
      <c r="F1022" s="10">
        <v>34.602993669999996</v>
      </c>
      <c r="G1022" s="10">
        <v>43.677188630000003</v>
      </c>
      <c r="H1022" s="11">
        <v>427</v>
      </c>
      <c r="I1022" s="11">
        <v>2562</v>
      </c>
      <c r="J1022" s="11"/>
      <c r="K1022" s="11"/>
      <c r="L1022" s="11">
        <v>72</v>
      </c>
      <c r="M1022" s="11"/>
      <c r="N1022" s="11">
        <v>18</v>
      </c>
      <c r="O1022" s="11"/>
      <c r="P1022" s="11">
        <v>55</v>
      </c>
      <c r="Q1022" s="11"/>
      <c r="R1022" s="11">
        <v>186</v>
      </c>
      <c r="S1022" s="11"/>
      <c r="T1022" s="11"/>
      <c r="U1022" s="11"/>
      <c r="V1022" s="11">
        <v>2</v>
      </c>
      <c r="W1022" s="11"/>
      <c r="X1022" s="11">
        <v>55</v>
      </c>
      <c r="Y1022" s="11">
        <v>39</v>
      </c>
      <c r="Z1022" s="11"/>
      <c r="AA1022" s="11"/>
      <c r="AB1022" s="11"/>
      <c r="AC1022" s="11">
        <v>392</v>
      </c>
      <c r="AD1022" s="11"/>
      <c r="AE1022" s="11"/>
      <c r="AF1022" s="11"/>
      <c r="AG1022" s="11"/>
      <c r="AH1022" s="11"/>
      <c r="AI1022" s="11">
        <v>35</v>
      </c>
      <c r="AJ1022" s="11"/>
      <c r="AK1022" s="11"/>
      <c r="AL1022" s="11"/>
      <c r="AM1022" s="11"/>
      <c r="AN1022" s="11">
        <v>350</v>
      </c>
      <c r="AO1022" s="11">
        <v>65</v>
      </c>
      <c r="AP1022" s="11">
        <v>12</v>
      </c>
      <c r="AQ1022" s="11"/>
      <c r="AR1022" s="11"/>
      <c r="AS1022" s="11"/>
      <c r="AT1022" s="11"/>
      <c r="AU1022" s="20" t="str">
        <f>HYPERLINK("http://www.openstreetmap.org/?mlat=34.603&amp;mlon=43.6772&amp;zoom=12#map=12/34.603/43.6772","Maplink1")</f>
        <v>Maplink1</v>
      </c>
      <c r="AV1022" s="20" t="str">
        <f>HYPERLINK("https://www.google.iq/maps/search/+34.603,43.6772/@34.603,43.6772,14z?hl=en","Maplink2")</f>
        <v>Maplink2</v>
      </c>
      <c r="AW1022" s="20" t="str">
        <f>HYPERLINK("http://www.bing.com/maps/?lvl=14&amp;sty=h&amp;cp=34.603~43.6772&amp;sp=point.34.603_43.6772","Maplink3")</f>
        <v>Maplink3</v>
      </c>
    </row>
    <row r="1023" spans="1:49" s="19" customFormat="1" x14ac:dyDescent="0.25">
      <c r="A1023" s="9">
        <v>24247</v>
      </c>
      <c r="B1023" s="10" t="s">
        <v>22</v>
      </c>
      <c r="C1023" s="10" t="s">
        <v>1486</v>
      </c>
      <c r="D1023" s="10" t="s">
        <v>1520</v>
      </c>
      <c r="E1023" s="10" t="s">
        <v>1521</v>
      </c>
      <c r="F1023" s="10">
        <v>34.691659899999998</v>
      </c>
      <c r="G1023" s="10">
        <v>43.710122949999999</v>
      </c>
      <c r="H1023" s="11">
        <v>45</v>
      </c>
      <c r="I1023" s="11">
        <v>270</v>
      </c>
      <c r="J1023" s="11"/>
      <c r="K1023" s="11"/>
      <c r="L1023" s="11"/>
      <c r="M1023" s="11"/>
      <c r="N1023" s="11"/>
      <c r="O1023" s="11"/>
      <c r="P1023" s="11"/>
      <c r="Q1023" s="11"/>
      <c r="R1023" s="11">
        <v>45</v>
      </c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>
        <v>45</v>
      </c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>
        <v>45</v>
      </c>
      <c r="AP1023" s="11"/>
      <c r="AQ1023" s="11"/>
      <c r="AR1023" s="11"/>
      <c r="AS1023" s="11"/>
      <c r="AT1023" s="11"/>
      <c r="AU1023" s="20" t="str">
        <f>HYPERLINK("http://www.openstreetmap.org/?mlat=34.6917&amp;mlon=43.7101&amp;zoom=12#map=12/34.6917/43.7101","Maplink1")</f>
        <v>Maplink1</v>
      </c>
      <c r="AV1023" s="20" t="str">
        <f>HYPERLINK("https://www.google.iq/maps/search/+34.6917,43.7101/@34.6917,43.7101,14z?hl=en","Maplink2")</f>
        <v>Maplink2</v>
      </c>
      <c r="AW1023" s="20" t="str">
        <f>HYPERLINK("http://www.bing.com/maps/?lvl=14&amp;sty=h&amp;cp=34.6917~43.7101&amp;sp=point.34.6917_43.7101","Maplink3")</f>
        <v>Maplink3</v>
      </c>
    </row>
    <row r="1024" spans="1:49" s="19" customFormat="1" x14ac:dyDescent="0.25">
      <c r="A1024" s="9">
        <v>20638</v>
      </c>
      <c r="B1024" s="10" t="s">
        <v>22</v>
      </c>
      <c r="C1024" s="10" t="s">
        <v>1486</v>
      </c>
      <c r="D1024" s="10" t="s">
        <v>169</v>
      </c>
      <c r="E1024" s="10" t="s">
        <v>170</v>
      </c>
      <c r="F1024" s="10">
        <v>34.633057360000002</v>
      </c>
      <c r="G1024" s="10">
        <v>43.667286799999999</v>
      </c>
      <c r="H1024" s="11">
        <v>800</v>
      </c>
      <c r="I1024" s="11">
        <v>4800</v>
      </c>
      <c r="J1024" s="11"/>
      <c r="K1024" s="11"/>
      <c r="L1024" s="11">
        <v>43</v>
      </c>
      <c r="M1024" s="11"/>
      <c r="N1024" s="11">
        <v>27</v>
      </c>
      <c r="O1024" s="11"/>
      <c r="P1024" s="11">
        <v>235</v>
      </c>
      <c r="Q1024" s="11"/>
      <c r="R1024" s="11">
        <v>390</v>
      </c>
      <c r="S1024" s="11"/>
      <c r="T1024" s="11"/>
      <c r="U1024" s="11"/>
      <c r="V1024" s="11"/>
      <c r="W1024" s="11"/>
      <c r="X1024" s="11">
        <v>55</v>
      </c>
      <c r="Y1024" s="11">
        <v>50</v>
      </c>
      <c r="Z1024" s="11"/>
      <c r="AA1024" s="11"/>
      <c r="AB1024" s="11"/>
      <c r="AC1024" s="11">
        <v>570</v>
      </c>
      <c r="AD1024" s="11"/>
      <c r="AE1024" s="11"/>
      <c r="AF1024" s="11"/>
      <c r="AG1024" s="11"/>
      <c r="AH1024" s="11"/>
      <c r="AI1024" s="11">
        <v>230</v>
      </c>
      <c r="AJ1024" s="11"/>
      <c r="AK1024" s="11"/>
      <c r="AL1024" s="11"/>
      <c r="AM1024" s="11"/>
      <c r="AN1024" s="11">
        <v>365</v>
      </c>
      <c r="AO1024" s="11">
        <v>335</v>
      </c>
      <c r="AP1024" s="11">
        <v>100</v>
      </c>
      <c r="AQ1024" s="11"/>
      <c r="AR1024" s="11"/>
      <c r="AS1024" s="11"/>
      <c r="AT1024" s="11"/>
      <c r="AU1024" s="20" t="str">
        <f>HYPERLINK("http://www.openstreetmap.org/?mlat=34.6331&amp;mlon=43.6673&amp;zoom=12#map=12/34.6331/43.6673","Maplink1")</f>
        <v>Maplink1</v>
      </c>
      <c r="AV1024" s="20" t="str">
        <f>HYPERLINK("https://www.google.iq/maps/search/+34.6331,43.6673/@34.6331,43.6673,14z?hl=en","Maplink2")</f>
        <v>Maplink2</v>
      </c>
      <c r="AW1024" s="20" t="str">
        <f>HYPERLINK("http://www.bing.com/maps/?lvl=14&amp;sty=h&amp;cp=34.6331~43.6673&amp;sp=point.34.6331_43.6673","Maplink3")</f>
        <v>Maplink3</v>
      </c>
    </row>
    <row r="1025" spans="1:49" s="19" customFormat="1" x14ac:dyDescent="0.25">
      <c r="A1025" s="9">
        <v>20608</v>
      </c>
      <c r="B1025" s="10" t="s">
        <v>22</v>
      </c>
      <c r="C1025" s="10" t="s">
        <v>1486</v>
      </c>
      <c r="D1025" s="10" t="s">
        <v>1522</v>
      </c>
      <c r="E1025" s="10" t="s">
        <v>1523</v>
      </c>
      <c r="F1025" s="10">
        <v>34.6975962</v>
      </c>
      <c r="G1025" s="10">
        <v>43.718533999999998</v>
      </c>
      <c r="H1025" s="11">
        <v>775</v>
      </c>
      <c r="I1025" s="11">
        <v>4650</v>
      </c>
      <c r="J1025" s="11"/>
      <c r="K1025" s="11"/>
      <c r="L1025" s="11"/>
      <c r="M1025" s="11"/>
      <c r="N1025" s="11"/>
      <c r="O1025" s="11"/>
      <c r="P1025" s="11"/>
      <c r="Q1025" s="11"/>
      <c r="R1025" s="11">
        <v>775</v>
      </c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>
        <v>770</v>
      </c>
      <c r="AD1025" s="11"/>
      <c r="AE1025" s="11"/>
      <c r="AF1025" s="11"/>
      <c r="AG1025" s="11"/>
      <c r="AH1025" s="11"/>
      <c r="AI1025" s="11">
        <v>5</v>
      </c>
      <c r="AJ1025" s="11"/>
      <c r="AK1025" s="11"/>
      <c r="AL1025" s="11"/>
      <c r="AM1025" s="11">
        <v>5</v>
      </c>
      <c r="AN1025" s="11"/>
      <c r="AO1025" s="11">
        <v>420</v>
      </c>
      <c r="AP1025" s="11">
        <v>350</v>
      </c>
      <c r="AQ1025" s="11"/>
      <c r="AR1025" s="11"/>
      <c r="AS1025" s="11"/>
      <c r="AT1025" s="11"/>
      <c r="AU1025" s="20" t="str">
        <f>HYPERLINK("http://www.openstreetmap.org/?mlat=34.6976&amp;mlon=43.7185&amp;zoom=12#map=12/34.6976/43.7185","Maplink1")</f>
        <v>Maplink1</v>
      </c>
      <c r="AV1025" s="20" t="str">
        <f>HYPERLINK("https://www.google.iq/maps/search/+34.6976,43.7185/@34.6976,43.7185,14z?hl=en","Maplink2")</f>
        <v>Maplink2</v>
      </c>
      <c r="AW1025" s="20" t="str">
        <f>HYPERLINK("http://www.bing.com/maps/?lvl=14&amp;sty=h&amp;cp=34.6976~43.7185&amp;sp=point.34.6976_43.7185","Maplink3")</f>
        <v>Maplink3</v>
      </c>
    </row>
    <row r="1026" spans="1:49" s="19" customFormat="1" x14ac:dyDescent="0.25">
      <c r="A1026" s="9">
        <v>22812</v>
      </c>
      <c r="B1026" s="10" t="s">
        <v>22</v>
      </c>
      <c r="C1026" s="10" t="s">
        <v>1486</v>
      </c>
      <c r="D1026" s="10" t="s">
        <v>2051</v>
      </c>
      <c r="E1026" s="10" t="s">
        <v>2052</v>
      </c>
      <c r="F1026" s="10">
        <v>34.600511169999997</v>
      </c>
      <c r="G1026" s="10">
        <v>43.675698274699997</v>
      </c>
      <c r="H1026" s="11">
        <v>740</v>
      </c>
      <c r="I1026" s="11">
        <v>4440</v>
      </c>
      <c r="J1026" s="11"/>
      <c r="K1026" s="11"/>
      <c r="L1026" s="11">
        <v>18</v>
      </c>
      <c r="M1026" s="11"/>
      <c r="N1026" s="11"/>
      <c r="O1026" s="11"/>
      <c r="P1026" s="11">
        <v>229</v>
      </c>
      <c r="Q1026" s="11"/>
      <c r="R1026" s="11">
        <v>307</v>
      </c>
      <c r="S1026" s="11"/>
      <c r="T1026" s="11"/>
      <c r="U1026" s="11"/>
      <c r="V1026" s="11"/>
      <c r="W1026" s="11"/>
      <c r="X1026" s="11">
        <v>37</v>
      </c>
      <c r="Y1026" s="11">
        <v>149</v>
      </c>
      <c r="Z1026" s="11"/>
      <c r="AA1026" s="11"/>
      <c r="AB1026" s="11"/>
      <c r="AC1026" s="11">
        <v>740</v>
      </c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>
        <v>700</v>
      </c>
      <c r="AO1026" s="11">
        <v>40</v>
      </c>
      <c r="AP1026" s="11"/>
      <c r="AQ1026" s="11"/>
      <c r="AR1026" s="11"/>
      <c r="AS1026" s="11"/>
      <c r="AT1026" s="11"/>
      <c r="AU1026" s="20" t="str">
        <f>HYPERLINK("http://www.openstreetmap.org/?mlat=34.6005&amp;mlon=43.6757&amp;zoom=12#map=12/34.6005/43.6757","Maplink1")</f>
        <v>Maplink1</v>
      </c>
      <c r="AV1026" s="20" t="str">
        <f>HYPERLINK("https://www.google.iq/maps/search/+34.6005,43.6757/@34.6005,43.6757,14z?hl=en","Maplink2")</f>
        <v>Maplink2</v>
      </c>
      <c r="AW1026" s="20" t="str">
        <f>HYPERLINK("http://www.bing.com/maps/?lvl=14&amp;sty=h&amp;cp=34.6005~43.6757&amp;sp=point.34.6005_43.6757","Maplink3")</f>
        <v>Maplink3</v>
      </c>
    </row>
    <row r="1027" spans="1:49" s="19" customFormat="1" x14ac:dyDescent="0.25">
      <c r="A1027" s="9">
        <v>21592</v>
      </c>
      <c r="B1027" s="10" t="s">
        <v>22</v>
      </c>
      <c r="C1027" s="10" t="s">
        <v>1486</v>
      </c>
      <c r="D1027" s="10" t="s">
        <v>1525</v>
      </c>
      <c r="E1027" s="10" t="s">
        <v>2053</v>
      </c>
      <c r="F1027" s="10">
        <v>34.712789361399999</v>
      </c>
      <c r="G1027" s="10">
        <v>43.719131117700002</v>
      </c>
      <c r="H1027" s="11">
        <v>765</v>
      </c>
      <c r="I1027" s="11">
        <v>4590</v>
      </c>
      <c r="J1027" s="11"/>
      <c r="K1027" s="11"/>
      <c r="L1027" s="11"/>
      <c r="M1027" s="11"/>
      <c r="N1027" s="11"/>
      <c r="O1027" s="11"/>
      <c r="P1027" s="11">
        <v>200</v>
      </c>
      <c r="Q1027" s="11"/>
      <c r="R1027" s="11">
        <v>415</v>
      </c>
      <c r="S1027" s="11"/>
      <c r="T1027" s="11"/>
      <c r="U1027" s="11"/>
      <c r="V1027" s="11"/>
      <c r="W1027" s="11"/>
      <c r="X1027" s="11">
        <v>150</v>
      </c>
      <c r="Y1027" s="11"/>
      <c r="Z1027" s="11"/>
      <c r="AA1027" s="11"/>
      <c r="AB1027" s="11"/>
      <c r="AC1027" s="11">
        <v>755</v>
      </c>
      <c r="AD1027" s="11"/>
      <c r="AE1027" s="11"/>
      <c r="AF1027" s="11"/>
      <c r="AG1027" s="11"/>
      <c r="AH1027" s="11"/>
      <c r="AI1027" s="11">
        <v>10</v>
      </c>
      <c r="AJ1027" s="11"/>
      <c r="AK1027" s="11"/>
      <c r="AL1027" s="11"/>
      <c r="AM1027" s="11"/>
      <c r="AN1027" s="11">
        <v>615</v>
      </c>
      <c r="AO1027" s="11"/>
      <c r="AP1027" s="11">
        <v>150</v>
      </c>
      <c r="AQ1027" s="11"/>
      <c r="AR1027" s="11"/>
      <c r="AS1027" s="11"/>
      <c r="AT1027" s="11"/>
      <c r="AU1027" s="20" t="str">
        <f>HYPERLINK("http://www.openstreetmap.org/?mlat=34.7128&amp;mlon=43.7191&amp;zoom=12#map=12/34.7128/43.7191","Maplink1")</f>
        <v>Maplink1</v>
      </c>
      <c r="AV1027" s="20" t="str">
        <f>HYPERLINK("https://www.google.iq/maps/search/+34.7128,43.7191/@34.7128,43.7191,14z?hl=en","Maplink2")</f>
        <v>Maplink2</v>
      </c>
      <c r="AW1027" s="20" t="str">
        <f>HYPERLINK("http://www.bing.com/maps/?lvl=14&amp;sty=h&amp;cp=34.7128~43.7191&amp;sp=point.34.7128_43.7191","Maplink3")</f>
        <v>Maplink3</v>
      </c>
    </row>
    <row r="1028" spans="1:49" s="19" customFormat="1" x14ac:dyDescent="0.25">
      <c r="A1028" s="9">
        <v>20622</v>
      </c>
      <c r="B1028" s="10" t="s">
        <v>22</v>
      </c>
      <c r="C1028" s="10" t="s">
        <v>1486</v>
      </c>
      <c r="D1028" s="10" t="s">
        <v>2054</v>
      </c>
      <c r="E1028" s="10" t="s">
        <v>1529</v>
      </c>
      <c r="F1028" s="10">
        <v>34.70311367</v>
      </c>
      <c r="G1028" s="10">
        <v>43.612091700000001</v>
      </c>
      <c r="H1028" s="11">
        <v>187</v>
      </c>
      <c r="I1028" s="11">
        <v>1122</v>
      </c>
      <c r="J1028" s="11"/>
      <c r="K1028" s="11"/>
      <c r="L1028" s="11">
        <v>36</v>
      </c>
      <c r="M1028" s="11"/>
      <c r="N1028" s="11">
        <v>5</v>
      </c>
      <c r="O1028" s="11"/>
      <c r="P1028" s="11"/>
      <c r="Q1028" s="11"/>
      <c r="R1028" s="11">
        <v>100</v>
      </c>
      <c r="S1028" s="11"/>
      <c r="T1028" s="11"/>
      <c r="U1028" s="11"/>
      <c r="V1028" s="11">
        <v>6</v>
      </c>
      <c r="W1028" s="11"/>
      <c r="X1028" s="11">
        <v>30</v>
      </c>
      <c r="Y1028" s="11">
        <v>10</v>
      </c>
      <c r="Z1028" s="11"/>
      <c r="AA1028" s="11"/>
      <c r="AB1028" s="11"/>
      <c r="AC1028" s="11">
        <v>187</v>
      </c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>
        <v>187</v>
      </c>
      <c r="AO1028" s="11"/>
      <c r="AP1028" s="11"/>
      <c r="AQ1028" s="11"/>
      <c r="AR1028" s="11"/>
      <c r="AS1028" s="11"/>
      <c r="AT1028" s="11"/>
      <c r="AU1028" s="20" t="str">
        <f>HYPERLINK("http://www.openstreetmap.org/?mlat=34.7031&amp;mlon=43.6121&amp;zoom=12#map=12/34.7031/43.6121","Maplink1")</f>
        <v>Maplink1</v>
      </c>
      <c r="AV1028" s="20" t="str">
        <f>HYPERLINK("https://www.google.iq/maps/search/+34.7031,43.6121/@34.7031,43.6121,14z?hl=en","Maplink2")</f>
        <v>Maplink2</v>
      </c>
      <c r="AW1028" s="20" t="str">
        <f>HYPERLINK("http://www.bing.com/maps/?lvl=14&amp;sty=h&amp;cp=34.7031~43.6121&amp;sp=point.34.7031_43.6121","Maplink3")</f>
        <v>Maplink3</v>
      </c>
    </row>
    <row r="1029" spans="1:49" s="19" customFormat="1" x14ac:dyDescent="0.25">
      <c r="A1029" s="9">
        <v>22468</v>
      </c>
      <c r="B1029" s="10" t="s">
        <v>22</v>
      </c>
      <c r="C1029" s="10" t="s">
        <v>1486</v>
      </c>
      <c r="D1029" s="10" t="s">
        <v>2055</v>
      </c>
      <c r="E1029" s="10" t="s">
        <v>2056</v>
      </c>
      <c r="F1029" s="10">
        <v>34.587520099999999</v>
      </c>
      <c r="G1029" s="10">
        <v>43.673181399999997</v>
      </c>
      <c r="H1029" s="11">
        <v>1302</v>
      </c>
      <c r="I1029" s="11">
        <v>7812</v>
      </c>
      <c r="J1029" s="11"/>
      <c r="K1029" s="11"/>
      <c r="L1029" s="11">
        <v>23</v>
      </c>
      <c r="M1029" s="11"/>
      <c r="N1029" s="11"/>
      <c r="O1029" s="11"/>
      <c r="P1029" s="11">
        <v>377</v>
      </c>
      <c r="Q1029" s="11"/>
      <c r="R1029" s="11">
        <v>753</v>
      </c>
      <c r="S1029" s="11"/>
      <c r="T1029" s="11"/>
      <c r="U1029" s="11"/>
      <c r="V1029" s="11">
        <v>3</v>
      </c>
      <c r="W1029" s="11"/>
      <c r="X1029" s="11">
        <v>44</v>
      </c>
      <c r="Y1029" s="11">
        <v>102</v>
      </c>
      <c r="Z1029" s="11"/>
      <c r="AA1029" s="11"/>
      <c r="AB1029" s="11"/>
      <c r="AC1029" s="11">
        <v>1244</v>
      </c>
      <c r="AD1029" s="11"/>
      <c r="AE1029" s="11"/>
      <c r="AF1029" s="11"/>
      <c r="AG1029" s="11"/>
      <c r="AH1029" s="11"/>
      <c r="AI1029" s="11">
        <v>58</v>
      </c>
      <c r="AJ1029" s="11"/>
      <c r="AK1029" s="11"/>
      <c r="AL1029" s="11"/>
      <c r="AM1029" s="11"/>
      <c r="AN1029" s="11">
        <v>900</v>
      </c>
      <c r="AO1029" s="11">
        <v>389</v>
      </c>
      <c r="AP1029" s="11">
        <v>13</v>
      </c>
      <c r="AQ1029" s="11"/>
      <c r="AR1029" s="11"/>
      <c r="AS1029" s="11"/>
      <c r="AT1029" s="11"/>
      <c r="AU1029" s="20" t="str">
        <f>HYPERLINK("http://www.openstreetmap.org/?mlat=34.5875&amp;mlon=43.6732&amp;zoom=12#map=12/34.5875/43.6732","Maplink1")</f>
        <v>Maplink1</v>
      </c>
      <c r="AV1029" s="20" t="str">
        <f>HYPERLINK("https://www.google.iq/maps/search/+34.5875,43.6732/@34.5875,43.6732,14z?hl=en","Maplink2")</f>
        <v>Maplink2</v>
      </c>
      <c r="AW1029" s="20" t="str">
        <f>HYPERLINK("http://www.bing.com/maps/?lvl=14&amp;sty=h&amp;cp=34.5875~43.6732&amp;sp=point.34.5875_43.6732","Maplink3")</f>
        <v>Maplink3</v>
      </c>
    </row>
    <row r="1030" spans="1:49" s="19" customFormat="1" x14ac:dyDescent="0.25">
      <c r="A1030" s="9">
        <v>28412</v>
      </c>
      <c r="B1030" s="10" t="s">
        <v>22</v>
      </c>
      <c r="C1030" s="10" t="s">
        <v>1486</v>
      </c>
      <c r="D1030" s="10" t="s">
        <v>1526</v>
      </c>
      <c r="E1030" s="10" t="s">
        <v>1527</v>
      </c>
      <c r="F1030" s="10">
        <v>34.601486000000001</v>
      </c>
      <c r="G1030" s="10">
        <v>43.671975000000003</v>
      </c>
      <c r="H1030" s="11">
        <v>118</v>
      </c>
      <c r="I1030" s="11">
        <v>708</v>
      </c>
      <c r="J1030" s="11"/>
      <c r="K1030" s="11"/>
      <c r="L1030" s="11"/>
      <c r="M1030" s="11"/>
      <c r="N1030" s="11"/>
      <c r="O1030" s="11"/>
      <c r="P1030" s="11"/>
      <c r="Q1030" s="11"/>
      <c r="R1030" s="11">
        <v>3</v>
      </c>
      <c r="S1030" s="11"/>
      <c r="T1030" s="11"/>
      <c r="U1030" s="11"/>
      <c r="V1030" s="11"/>
      <c r="W1030" s="11"/>
      <c r="X1030" s="11">
        <v>115</v>
      </c>
      <c r="Y1030" s="11"/>
      <c r="Z1030" s="11"/>
      <c r="AA1030" s="11"/>
      <c r="AB1030" s="11"/>
      <c r="AC1030" s="11">
        <v>90</v>
      </c>
      <c r="AD1030" s="11"/>
      <c r="AE1030" s="11"/>
      <c r="AF1030" s="11"/>
      <c r="AG1030" s="11"/>
      <c r="AH1030" s="11"/>
      <c r="AI1030" s="11">
        <v>28</v>
      </c>
      <c r="AJ1030" s="11"/>
      <c r="AK1030" s="11"/>
      <c r="AL1030" s="11"/>
      <c r="AM1030" s="11"/>
      <c r="AN1030" s="11">
        <v>75</v>
      </c>
      <c r="AO1030" s="11">
        <v>23</v>
      </c>
      <c r="AP1030" s="11">
        <v>20</v>
      </c>
      <c r="AQ1030" s="11"/>
      <c r="AR1030" s="11"/>
      <c r="AS1030" s="11"/>
      <c r="AT1030" s="11"/>
      <c r="AU1030" s="20" t="str">
        <f>HYPERLINK("http://www.openstreetmap.org/?mlat=34.6015&amp;mlon=43.672&amp;zoom=12#map=12/34.6015/43.672","Maplink1")</f>
        <v>Maplink1</v>
      </c>
      <c r="AV1030" s="20" t="str">
        <f>HYPERLINK("https://www.google.iq/maps/search/+34.6015,43.672/@34.6015,43.672,14z?hl=en","Maplink2")</f>
        <v>Maplink2</v>
      </c>
      <c r="AW1030" s="20" t="str">
        <f>HYPERLINK("http://www.bing.com/maps/?lvl=14&amp;sty=h&amp;cp=34.6015~43.672&amp;sp=point.34.6015_43.672","Maplink3")</f>
        <v>Maplink3</v>
      </c>
    </row>
    <row r="1031" spans="1:49" s="19" customFormat="1" x14ac:dyDescent="0.25">
      <c r="A1031" s="9">
        <v>28478</v>
      </c>
      <c r="B1031" s="10" t="s">
        <v>22</v>
      </c>
      <c r="C1031" s="10" t="s">
        <v>1486</v>
      </c>
      <c r="D1031" s="10" t="s">
        <v>1528</v>
      </c>
      <c r="E1031" s="10" t="s">
        <v>1282</v>
      </c>
      <c r="F1031" s="10">
        <v>34.596666710000001</v>
      </c>
      <c r="G1031" s="10">
        <v>43.673562429999997</v>
      </c>
      <c r="H1031" s="11">
        <v>207</v>
      </c>
      <c r="I1031" s="11">
        <v>1242</v>
      </c>
      <c r="J1031" s="11"/>
      <c r="K1031" s="11"/>
      <c r="L1031" s="11"/>
      <c r="M1031" s="11"/>
      <c r="N1031" s="11"/>
      <c r="O1031" s="11"/>
      <c r="P1031" s="11">
        <v>96</v>
      </c>
      <c r="Q1031" s="11"/>
      <c r="R1031" s="11">
        <v>105</v>
      </c>
      <c r="S1031" s="11"/>
      <c r="T1031" s="11"/>
      <c r="U1031" s="11"/>
      <c r="V1031" s="11"/>
      <c r="W1031" s="11"/>
      <c r="X1031" s="11">
        <v>6</v>
      </c>
      <c r="Y1031" s="11"/>
      <c r="Z1031" s="11"/>
      <c r="AA1031" s="11"/>
      <c r="AB1031" s="11"/>
      <c r="AC1031" s="11">
        <v>185</v>
      </c>
      <c r="AD1031" s="11"/>
      <c r="AE1031" s="11"/>
      <c r="AF1031" s="11"/>
      <c r="AG1031" s="11"/>
      <c r="AH1031" s="11"/>
      <c r="AI1031" s="11">
        <v>22</v>
      </c>
      <c r="AJ1031" s="11"/>
      <c r="AK1031" s="11"/>
      <c r="AL1031" s="11"/>
      <c r="AM1031" s="11"/>
      <c r="AN1031" s="11">
        <v>150</v>
      </c>
      <c r="AO1031" s="11">
        <v>50</v>
      </c>
      <c r="AP1031" s="11">
        <v>7</v>
      </c>
      <c r="AQ1031" s="11"/>
      <c r="AR1031" s="11"/>
      <c r="AS1031" s="11"/>
      <c r="AT1031" s="11"/>
      <c r="AU1031" s="20" t="str">
        <f>HYPERLINK("http://www.openstreetmap.org/?mlat=34.5967&amp;mlon=43.6736&amp;zoom=12#map=12/34.5967/43.6736","Maplink1")</f>
        <v>Maplink1</v>
      </c>
      <c r="AV1031" s="20" t="str">
        <f>HYPERLINK("https://www.google.iq/maps/search/+34.5967,43.6736/@34.5967,43.6736,14z?hl=en","Maplink2")</f>
        <v>Maplink2</v>
      </c>
      <c r="AW1031" s="20" t="str">
        <f>HYPERLINK("http://www.bing.com/maps/?lvl=14&amp;sty=h&amp;cp=34.5967~43.6736&amp;sp=point.34.5967_43.6736","Maplink3")</f>
        <v>Maplink3</v>
      </c>
    </row>
    <row r="1032" spans="1:49" s="19" customFormat="1" x14ac:dyDescent="0.25">
      <c r="A1032" s="9">
        <v>20663</v>
      </c>
      <c r="B1032" s="10" t="s">
        <v>22</v>
      </c>
      <c r="C1032" s="10" t="s">
        <v>1486</v>
      </c>
      <c r="D1032" s="10" t="s">
        <v>2057</v>
      </c>
      <c r="E1032" s="10" t="s">
        <v>1537</v>
      </c>
      <c r="F1032" s="10">
        <v>34.581973419999997</v>
      </c>
      <c r="G1032" s="10">
        <v>43.678329920000003</v>
      </c>
      <c r="H1032" s="11">
        <v>270</v>
      </c>
      <c r="I1032" s="11">
        <v>1620</v>
      </c>
      <c r="J1032" s="11"/>
      <c r="K1032" s="11"/>
      <c r="L1032" s="11">
        <v>7</v>
      </c>
      <c r="M1032" s="11"/>
      <c r="N1032" s="11"/>
      <c r="O1032" s="11"/>
      <c r="P1032" s="11">
        <v>52</v>
      </c>
      <c r="Q1032" s="11"/>
      <c r="R1032" s="11">
        <v>183</v>
      </c>
      <c r="S1032" s="11"/>
      <c r="T1032" s="11"/>
      <c r="U1032" s="11"/>
      <c r="V1032" s="11"/>
      <c r="W1032" s="11"/>
      <c r="X1032" s="11">
        <v>14</v>
      </c>
      <c r="Y1032" s="11">
        <v>14</v>
      </c>
      <c r="Z1032" s="11"/>
      <c r="AA1032" s="11"/>
      <c r="AB1032" s="11"/>
      <c r="AC1032" s="11">
        <v>236</v>
      </c>
      <c r="AD1032" s="11"/>
      <c r="AE1032" s="11"/>
      <c r="AF1032" s="11"/>
      <c r="AG1032" s="11"/>
      <c r="AH1032" s="11"/>
      <c r="AI1032" s="11">
        <v>34</v>
      </c>
      <c r="AJ1032" s="11"/>
      <c r="AK1032" s="11"/>
      <c r="AL1032" s="11"/>
      <c r="AM1032" s="11">
        <v>18</v>
      </c>
      <c r="AN1032" s="11">
        <v>202</v>
      </c>
      <c r="AO1032" s="11">
        <v>50</v>
      </c>
      <c r="AP1032" s="11"/>
      <c r="AQ1032" s="11"/>
      <c r="AR1032" s="11"/>
      <c r="AS1032" s="11"/>
      <c r="AT1032" s="11"/>
      <c r="AU1032" s="20" t="str">
        <f>HYPERLINK("http://www.openstreetmap.org/?mlat=34.582&amp;mlon=43.6783&amp;zoom=12#map=12/34.582/43.6783","Maplink1")</f>
        <v>Maplink1</v>
      </c>
      <c r="AV1032" s="20" t="str">
        <f>HYPERLINK("https://www.google.iq/maps/search/+34.582,43.6783/@34.582,43.6783,14z?hl=en","Maplink2")</f>
        <v>Maplink2</v>
      </c>
      <c r="AW1032" s="20" t="str">
        <f>HYPERLINK("http://www.bing.com/maps/?lvl=14&amp;sty=h&amp;cp=34.582~43.6783&amp;sp=point.34.582_43.6783","Maplink3")</f>
        <v>Maplink3</v>
      </c>
    </row>
    <row r="1033" spans="1:49" s="19" customFormat="1" x14ac:dyDescent="0.25">
      <c r="A1033" s="9">
        <v>28413</v>
      </c>
      <c r="B1033" s="10" t="s">
        <v>22</v>
      </c>
      <c r="C1033" s="10" t="s">
        <v>1486</v>
      </c>
      <c r="D1033" s="10" t="s">
        <v>1530</v>
      </c>
      <c r="E1033" s="10" t="s">
        <v>146</v>
      </c>
      <c r="F1033" s="10">
        <v>34.604170000000003</v>
      </c>
      <c r="G1033" s="10">
        <v>43.66845</v>
      </c>
      <c r="H1033" s="11">
        <v>80</v>
      </c>
      <c r="I1033" s="11">
        <v>480</v>
      </c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>
        <v>80</v>
      </c>
      <c r="Y1033" s="11"/>
      <c r="Z1033" s="11"/>
      <c r="AA1033" s="11"/>
      <c r="AB1033" s="11"/>
      <c r="AC1033" s="11">
        <v>65</v>
      </c>
      <c r="AD1033" s="11"/>
      <c r="AE1033" s="11"/>
      <c r="AF1033" s="11"/>
      <c r="AG1033" s="11"/>
      <c r="AH1033" s="11"/>
      <c r="AI1033" s="11">
        <v>15</v>
      </c>
      <c r="AJ1033" s="11"/>
      <c r="AK1033" s="11"/>
      <c r="AL1033" s="11"/>
      <c r="AM1033" s="11"/>
      <c r="AN1033" s="11">
        <v>50</v>
      </c>
      <c r="AO1033" s="11">
        <v>20</v>
      </c>
      <c r="AP1033" s="11">
        <v>10</v>
      </c>
      <c r="AQ1033" s="11"/>
      <c r="AR1033" s="11"/>
      <c r="AS1033" s="11"/>
      <c r="AT1033" s="11"/>
      <c r="AU1033" s="20" t="str">
        <f>HYPERLINK("http://www.openstreetmap.org/?mlat=34.6042&amp;mlon=43.6685&amp;zoom=12#map=12/34.6042/43.6685","Maplink1")</f>
        <v>Maplink1</v>
      </c>
      <c r="AV1033" s="20" t="str">
        <f>HYPERLINK("https://www.google.iq/maps/search/+34.6042,43.6685/@34.6042,43.6685,14z?hl=en","Maplink2")</f>
        <v>Maplink2</v>
      </c>
      <c r="AW1033" s="20" t="str">
        <f>HYPERLINK("http://www.bing.com/maps/?lvl=14&amp;sty=h&amp;cp=34.6042~43.6685&amp;sp=point.34.6042_43.6685","Maplink3")</f>
        <v>Maplink3</v>
      </c>
    </row>
    <row r="1034" spans="1:49" s="19" customFormat="1" x14ac:dyDescent="0.25">
      <c r="A1034" s="9">
        <v>25961</v>
      </c>
      <c r="B1034" s="10" t="s">
        <v>22</v>
      </c>
      <c r="C1034" s="10" t="s">
        <v>1486</v>
      </c>
      <c r="D1034" s="10" t="s">
        <v>2058</v>
      </c>
      <c r="E1034" s="10" t="s">
        <v>1518</v>
      </c>
      <c r="F1034" s="10">
        <v>34.593416900000001</v>
      </c>
      <c r="G1034" s="10">
        <v>43.677529309999997</v>
      </c>
      <c r="H1034" s="11">
        <v>416</v>
      </c>
      <c r="I1034" s="11">
        <v>2496</v>
      </c>
      <c r="J1034" s="11"/>
      <c r="K1034" s="11"/>
      <c r="L1034" s="11"/>
      <c r="M1034" s="11"/>
      <c r="N1034" s="11"/>
      <c r="O1034" s="11"/>
      <c r="P1034" s="11">
        <v>112</v>
      </c>
      <c r="Q1034" s="11"/>
      <c r="R1034" s="11">
        <v>174</v>
      </c>
      <c r="S1034" s="11"/>
      <c r="T1034" s="11"/>
      <c r="U1034" s="11"/>
      <c r="V1034" s="11">
        <v>3</v>
      </c>
      <c r="W1034" s="11"/>
      <c r="X1034" s="11">
        <v>127</v>
      </c>
      <c r="Y1034" s="11"/>
      <c r="Z1034" s="11"/>
      <c r="AA1034" s="11"/>
      <c r="AB1034" s="11"/>
      <c r="AC1034" s="11">
        <v>368</v>
      </c>
      <c r="AD1034" s="11"/>
      <c r="AE1034" s="11"/>
      <c r="AF1034" s="11"/>
      <c r="AG1034" s="11"/>
      <c r="AH1034" s="11"/>
      <c r="AI1034" s="11">
        <v>48</v>
      </c>
      <c r="AJ1034" s="11"/>
      <c r="AK1034" s="11"/>
      <c r="AL1034" s="11"/>
      <c r="AM1034" s="11"/>
      <c r="AN1034" s="11">
        <v>283</v>
      </c>
      <c r="AO1034" s="11">
        <v>70</v>
      </c>
      <c r="AP1034" s="11">
        <v>63</v>
      </c>
      <c r="AQ1034" s="11"/>
      <c r="AR1034" s="11"/>
      <c r="AS1034" s="11"/>
      <c r="AT1034" s="11"/>
      <c r="AU1034" s="20" t="str">
        <f>HYPERLINK("http://www.openstreetmap.org/?mlat=34.5934&amp;mlon=43.6775&amp;zoom=12#map=12/34.5934/43.6775","Maplink1")</f>
        <v>Maplink1</v>
      </c>
      <c r="AV1034" s="20" t="str">
        <f>HYPERLINK("https://www.google.iq/maps/search/+34.5934,43.6775/@34.5934,43.6775,14z?hl=en","Maplink2")</f>
        <v>Maplink2</v>
      </c>
      <c r="AW1034" s="20" t="str">
        <f>HYPERLINK("http://www.bing.com/maps/?lvl=14&amp;sty=h&amp;cp=34.5934~43.6775&amp;sp=point.34.5934_43.6775","Maplink3")</f>
        <v>Maplink3</v>
      </c>
    </row>
    <row r="1035" spans="1:49" s="19" customFormat="1" x14ac:dyDescent="0.25">
      <c r="A1035" s="9">
        <v>22058</v>
      </c>
      <c r="B1035" s="10" t="s">
        <v>22</v>
      </c>
      <c r="C1035" s="10" t="s">
        <v>1486</v>
      </c>
      <c r="D1035" s="10" t="s">
        <v>2059</v>
      </c>
      <c r="E1035" s="10" t="s">
        <v>2060</v>
      </c>
      <c r="F1035" s="10">
        <v>34.600582269999997</v>
      </c>
      <c r="G1035" s="10">
        <v>43.653466680000001</v>
      </c>
      <c r="H1035" s="11">
        <v>630</v>
      </c>
      <c r="I1035" s="11">
        <v>3780</v>
      </c>
      <c r="J1035" s="11"/>
      <c r="K1035" s="11"/>
      <c r="L1035" s="11">
        <v>25</v>
      </c>
      <c r="M1035" s="11"/>
      <c r="N1035" s="11"/>
      <c r="O1035" s="11"/>
      <c r="P1035" s="11">
        <v>122</v>
      </c>
      <c r="Q1035" s="11"/>
      <c r="R1035" s="11">
        <v>365</v>
      </c>
      <c r="S1035" s="11"/>
      <c r="T1035" s="11"/>
      <c r="U1035" s="11"/>
      <c r="V1035" s="11">
        <v>7</v>
      </c>
      <c r="W1035" s="11"/>
      <c r="X1035" s="11">
        <v>80</v>
      </c>
      <c r="Y1035" s="11">
        <v>31</v>
      </c>
      <c r="Z1035" s="11"/>
      <c r="AA1035" s="11"/>
      <c r="AB1035" s="11"/>
      <c r="AC1035" s="11">
        <v>630</v>
      </c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>
        <v>583</v>
      </c>
      <c r="AO1035" s="11">
        <v>30</v>
      </c>
      <c r="AP1035" s="11">
        <v>17</v>
      </c>
      <c r="AQ1035" s="11"/>
      <c r="AR1035" s="11"/>
      <c r="AS1035" s="11"/>
      <c r="AT1035" s="11"/>
      <c r="AU1035" s="20" t="str">
        <f>HYPERLINK("http://www.openstreetmap.org/?mlat=34.6006&amp;mlon=43.6535&amp;zoom=12#map=12/34.6006/43.6535","Maplink1")</f>
        <v>Maplink1</v>
      </c>
      <c r="AV1035" s="20" t="str">
        <f>HYPERLINK("https://www.google.iq/maps/search/+34.6006,43.6535/@34.6006,43.6535,14z?hl=en","Maplink2")</f>
        <v>Maplink2</v>
      </c>
      <c r="AW1035" s="20" t="str">
        <f>HYPERLINK("http://www.bing.com/maps/?lvl=14&amp;sty=h&amp;cp=34.6006~43.6535&amp;sp=point.34.6006_43.6535","Maplink3")</f>
        <v>Maplink3</v>
      </c>
    </row>
    <row r="1036" spans="1:49" s="19" customFormat="1" x14ac:dyDescent="0.25">
      <c r="A1036" s="9">
        <v>27369</v>
      </c>
      <c r="B1036" s="10" t="s">
        <v>22</v>
      </c>
      <c r="C1036" s="10" t="s">
        <v>1486</v>
      </c>
      <c r="D1036" s="10" t="s">
        <v>1531</v>
      </c>
      <c r="E1036" s="10" t="s">
        <v>1532</v>
      </c>
      <c r="F1036" s="10">
        <v>34.589801450000003</v>
      </c>
      <c r="G1036" s="10">
        <v>43.664852119999999</v>
      </c>
      <c r="H1036" s="11">
        <v>751</v>
      </c>
      <c r="I1036" s="11">
        <v>4506</v>
      </c>
      <c r="J1036" s="11"/>
      <c r="K1036" s="11"/>
      <c r="L1036" s="11">
        <v>10</v>
      </c>
      <c r="M1036" s="11"/>
      <c r="N1036" s="11"/>
      <c r="O1036" s="11"/>
      <c r="P1036" s="11">
        <v>72</v>
      </c>
      <c r="Q1036" s="11"/>
      <c r="R1036" s="11">
        <v>490</v>
      </c>
      <c r="S1036" s="11"/>
      <c r="T1036" s="11"/>
      <c r="U1036" s="11"/>
      <c r="V1036" s="11">
        <v>9</v>
      </c>
      <c r="W1036" s="11"/>
      <c r="X1036" s="11">
        <v>145</v>
      </c>
      <c r="Y1036" s="11">
        <v>25</v>
      </c>
      <c r="Z1036" s="11"/>
      <c r="AA1036" s="11"/>
      <c r="AB1036" s="11"/>
      <c r="AC1036" s="11">
        <v>451</v>
      </c>
      <c r="AD1036" s="11"/>
      <c r="AE1036" s="11"/>
      <c r="AF1036" s="11">
        <v>300</v>
      </c>
      <c r="AG1036" s="11"/>
      <c r="AH1036" s="11"/>
      <c r="AI1036" s="11"/>
      <c r="AJ1036" s="11"/>
      <c r="AK1036" s="11"/>
      <c r="AL1036" s="11"/>
      <c r="AM1036" s="11"/>
      <c r="AN1036" s="11">
        <v>619</v>
      </c>
      <c r="AO1036" s="11">
        <v>117</v>
      </c>
      <c r="AP1036" s="11">
        <v>15</v>
      </c>
      <c r="AQ1036" s="11"/>
      <c r="AR1036" s="11"/>
      <c r="AS1036" s="11"/>
      <c r="AT1036" s="11"/>
      <c r="AU1036" s="20" t="str">
        <f>HYPERLINK("http://www.openstreetmap.org/?mlat=34.5898&amp;mlon=43.6649&amp;zoom=12#map=12/34.5898/43.6649","Maplink1")</f>
        <v>Maplink1</v>
      </c>
      <c r="AV1036" s="20" t="str">
        <f>HYPERLINK("https://www.google.iq/maps/search/+34.5898,43.6649/@34.5898,43.6649,14z?hl=en","Maplink2")</f>
        <v>Maplink2</v>
      </c>
      <c r="AW1036" s="20" t="str">
        <f>HYPERLINK("http://www.bing.com/maps/?lvl=14&amp;sty=h&amp;cp=34.5898~43.6649&amp;sp=point.34.5898_43.6649","Maplink3")</f>
        <v>Maplink3</v>
      </c>
    </row>
    <row r="1037" spans="1:49" s="19" customFormat="1" x14ac:dyDescent="0.25">
      <c r="A1037" s="9">
        <v>25960</v>
      </c>
      <c r="B1037" s="10" t="s">
        <v>22</v>
      </c>
      <c r="C1037" s="10" t="s">
        <v>1486</v>
      </c>
      <c r="D1037" s="10" t="s">
        <v>2061</v>
      </c>
      <c r="E1037" s="10" t="s">
        <v>1524</v>
      </c>
      <c r="F1037" s="10">
        <v>34.595911000000001</v>
      </c>
      <c r="G1037" s="10">
        <v>43.673602029999998</v>
      </c>
      <c r="H1037" s="11">
        <v>1155</v>
      </c>
      <c r="I1037" s="11">
        <v>6930</v>
      </c>
      <c r="J1037" s="11"/>
      <c r="K1037" s="11"/>
      <c r="L1037" s="11">
        <v>36</v>
      </c>
      <c r="M1037" s="11"/>
      <c r="N1037" s="11">
        <v>7</v>
      </c>
      <c r="O1037" s="11"/>
      <c r="P1037" s="11">
        <v>289</v>
      </c>
      <c r="Q1037" s="11"/>
      <c r="R1037" s="11">
        <v>355</v>
      </c>
      <c r="S1037" s="11"/>
      <c r="T1037" s="11"/>
      <c r="U1037" s="11"/>
      <c r="V1037" s="11">
        <v>2</v>
      </c>
      <c r="W1037" s="11"/>
      <c r="X1037" s="11">
        <v>443</v>
      </c>
      <c r="Y1037" s="11">
        <v>23</v>
      </c>
      <c r="Z1037" s="11"/>
      <c r="AA1037" s="11"/>
      <c r="AB1037" s="11"/>
      <c r="AC1037" s="11">
        <v>555</v>
      </c>
      <c r="AD1037" s="11"/>
      <c r="AE1037" s="11"/>
      <c r="AF1037" s="11"/>
      <c r="AG1037" s="11"/>
      <c r="AH1037" s="11"/>
      <c r="AI1037" s="11">
        <v>600</v>
      </c>
      <c r="AJ1037" s="11"/>
      <c r="AK1037" s="11"/>
      <c r="AL1037" s="11"/>
      <c r="AM1037" s="11"/>
      <c r="AN1037" s="11">
        <v>509</v>
      </c>
      <c r="AO1037" s="11">
        <v>450</v>
      </c>
      <c r="AP1037" s="11">
        <v>196</v>
      </c>
      <c r="AQ1037" s="11"/>
      <c r="AR1037" s="11"/>
      <c r="AS1037" s="11"/>
      <c r="AT1037" s="11"/>
      <c r="AU1037" s="20" t="str">
        <f>HYPERLINK("http://www.openstreetmap.org/?mlat=34.5959&amp;mlon=43.6736&amp;zoom=12#map=12/34.5959/43.6736","Maplink1")</f>
        <v>Maplink1</v>
      </c>
      <c r="AV1037" s="20" t="str">
        <f>HYPERLINK("https://www.google.iq/maps/search/+34.5959,43.6736/@34.5959,43.6736,14z?hl=en","Maplink2")</f>
        <v>Maplink2</v>
      </c>
      <c r="AW1037" s="20" t="str">
        <f>HYPERLINK("http://www.bing.com/maps/?lvl=14&amp;sty=h&amp;cp=34.5959~43.6736&amp;sp=point.34.5959_43.6736","Maplink3")</f>
        <v>Maplink3</v>
      </c>
    </row>
    <row r="1038" spans="1:49" s="19" customFormat="1" x14ac:dyDescent="0.25">
      <c r="A1038" s="9">
        <v>27368</v>
      </c>
      <c r="B1038" s="10" t="s">
        <v>22</v>
      </c>
      <c r="C1038" s="10" t="s">
        <v>1486</v>
      </c>
      <c r="D1038" s="10" t="s">
        <v>1533</v>
      </c>
      <c r="E1038" s="10" t="s">
        <v>1534</v>
      </c>
      <c r="F1038" s="10">
        <v>34.607758549000003</v>
      </c>
      <c r="G1038" s="10">
        <v>43.668777849000001</v>
      </c>
      <c r="H1038" s="11">
        <v>90</v>
      </c>
      <c r="I1038" s="11">
        <v>540</v>
      </c>
      <c r="J1038" s="11"/>
      <c r="K1038" s="11"/>
      <c r="L1038" s="11"/>
      <c r="M1038" s="11"/>
      <c r="N1038" s="11"/>
      <c r="O1038" s="11"/>
      <c r="P1038" s="11">
        <v>22</v>
      </c>
      <c r="Q1038" s="11"/>
      <c r="R1038" s="11">
        <v>28</v>
      </c>
      <c r="S1038" s="11"/>
      <c r="T1038" s="11"/>
      <c r="U1038" s="11"/>
      <c r="V1038" s="11"/>
      <c r="W1038" s="11"/>
      <c r="X1038" s="11">
        <v>40</v>
      </c>
      <c r="Y1038" s="11"/>
      <c r="Z1038" s="11"/>
      <c r="AA1038" s="11"/>
      <c r="AB1038" s="11"/>
      <c r="AC1038" s="11">
        <v>86</v>
      </c>
      <c r="AD1038" s="11"/>
      <c r="AE1038" s="11"/>
      <c r="AF1038" s="11"/>
      <c r="AG1038" s="11"/>
      <c r="AH1038" s="11"/>
      <c r="AI1038" s="11">
        <v>4</v>
      </c>
      <c r="AJ1038" s="11"/>
      <c r="AK1038" s="11"/>
      <c r="AL1038" s="11"/>
      <c r="AM1038" s="11"/>
      <c r="AN1038" s="11">
        <v>70</v>
      </c>
      <c r="AO1038" s="11">
        <v>20</v>
      </c>
      <c r="AP1038" s="11"/>
      <c r="AQ1038" s="11"/>
      <c r="AR1038" s="11"/>
      <c r="AS1038" s="11"/>
      <c r="AT1038" s="11"/>
      <c r="AU1038" s="20" t="str">
        <f>HYPERLINK("http://www.openstreetmap.org/?mlat=34.6078&amp;mlon=43.6688&amp;zoom=12#map=12/34.6078/43.6688","Maplink1")</f>
        <v>Maplink1</v>
      </c>
      <c r="AV1038" s="20" t="str">
        <f>HYPERLINK("https://www.google.iq/maps/search/+34.6078,43.6688/@34.6078,43.6688,14z?hl=en","Maplink2")</f>
        <v>Maplink2</v>
      </c>
      <c r="AW1038" s="20" t="str">
        <f>HYPERLINK("http://www.bing.com/maps/?lvl=14&amp;sty=h&amp;cp=34.6078~43.6688&amp;sp=point.34.6078_43.6688","Maplink3")</f>
        <v>Maplink3</v>
      </c>
    </row>
    <row r="1039" spans="1:49" s="19" customFormat="1" x14ac:dyDescent="0.25">
      <c r="A1039" s="9">
        <v>22965</v>
      </c>
      <c r="B1039" s="10" t="s">
        <v>22</v>
      </c>
      <c r="C1039" s="10" t="s">
        <v>1486</v>
      </c>
      <c r="D1039" s="10" t="s">
        <v>1535</v>
      </c>
      <c r="E1039" s="10" t="s">
        <v>1536</v>
      </c>
      <c r="F1039" s="10">
        <v>34.604444149999999</v>
      </c>
      <c r="G1039" s="10">
        <v>43.685085970000003</v>
      </c>
      <c r="H1039" s="11">
        <v>130</v>
      </c>
      <c r="I1039" s="11">
        <v>780</v>
      </c>
      <c r="J1039" s="11"/>
      <c r="K1039" s="11"/>
      <c r="L1039" s="11">
        <v>8</v>
      </c>
      <c r="M1039" s="11"/>
      <c r="N1039" s="11"/>
      <c r="O1039" s="11"/>
      <c r="P1039" s="11"/>
      <c r="Q1039" s="11"/>
      <c r="R1039" s="11">
        <v>46</v>
      </c>
      <c r="S1039" s="11"/>
      <c r="T1039" s="11"/>
      <c r="U1039" s="11"/>
      <c r="V1039" s="11"/>
      <c r="W1039" s="11"/>
      <c r="X1039" s="11">
        <v>76</v>
      </c>
      <c r="Y1039" s="11"/>
      <c r="Z1039" s="11"/>
      <c r="AA1039" s="11"/>
      <c r="AB1039" s="11"/>
      <c r="AC1039" s="11">
        <v>96</v>
      </c>
      <c r="AD1039" s="11"/>
      <c r="AE1039" s="11"/>
      <c r="AF1039" s="11"/>
      <c r="AG1039" s="11"/>
      <c r="AH1039" s="11"/>
      <c r="AI1039" s="11">
        <v>34</v>
      </c>
      <c r="AJ1039" s="11"/>
      <c r="AK1039" s="11"/>
      <c r="AL1039" s="11"/>
      <c r="AM1039" s="11"/>
      <c r="AN1039" s="11">
        <v>30</v>
      </c>
      <c r="AO1039" s="11">
        <v>40</v>
      </c>
      <c r="AP1039" s="11">
        <v>60</v>
      </c>
      <c r="AQ1039" s="11"/>
      <c r="AR1039" s="11"/>
      <c r="AS1039" s="11"/>
      <c r="AT1039" s="11"/>
      <c r="AU1039" s="20" t="str">
        <f>HYPERLINK("http://www.openstreetmap.org/?mlat=34.6044&amp;mlon=43.6851&amp;zoom=12#map=12/34.6044/43.6851","Maplink1")</f>
        <v>Maplink1</v>
      </c>
      <c r="AV1039" s="20" t="str">
        <f>HYPERLINK("https://www.google.iq/maps/search/+34.6044,43.6851/@34.6044,43.6851,14z?hl=en","Maplink2")</f>
        <v>Maplink2</v>
      </c>
      <c r="AW1039" s="20" t="str">
        <f>HYPERLINK("http://www.bing.com/maps/?lvl=14&amp;sty=h&amp;cp=34.6044~43.6851&amp;sp=point.34.6044_43.6851","Maplink3")</f>
        <v>Maplink3</v>
      </c>
    </row>
    <row r="1040" spans="1:49" s="19" customFormat="1" x14ac:dyDescent="0.25">
      <c r="A1040" s="9">
        <v>27367</v>
      </c>
      <c r="B1040" s="10" t="s">
        <v>22</v>
      </c>
      <c r="C1040" s="10" t="s">
        <v>1486</v>
      </c>
      <c r="D1040" s="10" t="s">
        <v>1538</v>
      </c>
      <c r="E1040" s="10" t="s">
        <v>1539</v>
      </c>
      <c r="F1040" s="10">
        <v>34.584929500000001</v>
      </c>
      <c r="G1040" s="10">
        <v>43.682541399999998</v>
      </c>
      <c r="H1040" s="11">
        <v>370</v>
      </c>
      <c r="I1040" s="11">
        <v>2220</v>
      </c>
      <c r="J1040" s="11"/>
      <c r="K1040" s="11"/>
      <c r="L1040" s="11">
        <v>33</v>
      </c>
      <c r="M1040" s="11"/>
      <c r="N1040" s="11"/>
      <c r="O1040" s="11"/>
      <c r="P1040" s="11">
        <v>38</v>
      </c>
      <c r="Q1040" s="11"/>
      <c r="R1040" s="11">
        <v>85</v>
      </c>
      <c r="S1040" s="11"/>
      <c r="T1040" s="11"/>
      <c r="U1040" s="11"/>
      <c r="V1040" s="11"/>
      <c r="W1040" s="11"/>
      <c r="X1040" s="11">
        <v>214</v>
      </c>
      <c r="Y1040" s="11"/>
      <c r="Z1040" s="11"/>
      <c r="AA1040" s="11"/>
      <c r="AB1040" s="11"/>
      <c r="AC1040" s="11">
        <v>348</v>
      </c>
      <c r="AD1040" s="11"/>
      <c r="AE1040" s="11"/>
      <c r="AF1040" s="11"/>
      <c r="AG1040" s="11"/>
      <c r="AH1040" s="11"/>
      <c r="AI1040" s="11">
        <v>22</v>
      </c>
      <c r="AJ1040" s="11"/>
      <c r="AK1040" s="11"/>
      <c r="AL1040" s="11"/>
      <c r="AM1040" s="11"/>
      <c r="AN1040" s="11">
        <v>152</v>
      </c>
      <c r="AO1040" s="11">
        <v>110</v>
      </c>
      <c r="AP1040" s="11">
        <v>108</v>
      </c>
      <c r="AQ1040" s="11"/>
      <c r="AR1040" s="11"/>
      <c r="AS1040" s="11"/>
      <c r="AT1040" s="11"/>
      <c r="AU1040" s="20" t="str">
        <f>HYPERLINK("http://www.openstreetmap.org/?mlat=34.5849&amp;mlon=43.6825&amp;zoom=12#map=12/34.5849/43.6825","Maplink1")</f>
        <v>Maplink1</v>
      </c>
      <c r="AV1040" s="20" t="str">
        <f>HYPERLINK("https://www.google.iq/maps/search/+34.5849,43.6825/@34.5849,43.6825,14z?hl=en","Maplink2")</f>
        <v>Maplink2</v>
      </c>
      <c r="AW1040" s="20" t="str">
        <f>HYPERLINK("http://www.bing.com/maps/?lvl=14&amp;sty=h&amp;cp=34.5849~43.6825&amp;sp=point.34.5849_43.6825","Maplink3")</f>
        <v>Maplink3</v>
      </c>
    </row>
    <row r="1041" spans="1:49" s="19" customFormat="1" x14ac:dyDescent="0.25">
      <c r="A1041" s="9">
        <v>25962</v>
      </c>
      <c r="B1041" s="10" t="s">
        <v>22</v>
      </c>
      <c r="C1041" s="10" t="s">
        <v>1486</v>
      </c>
      <c r="D1041" s="10" t="s">
        <v>2062</v>
      </c>
      <c r="E1041" s="10" t="s">
        <v>1540</v>
      </c>
      <c r="F1041" s="10">
        <v>34.612176759999997</v>
      </c>
      <c r="G1041" s="10">
        <v>43.680861129999997</v>
      </c>
      <c r="H1041" s="11">
        <v>727</v>
      </c>
      <c r="I1041" s="11">
        <v>4362</v>
      </c>
      <c r="J1041" s="11"/>
      <c r="K1041" s="11"/>
      <c r="L1041" s="11">
        <v>23</v>
      </c>
      <c r="M1041" s="11"/>
      <c r="N1041" s="11">
        <v>6</v>
      </c>
      <c r="O1041" s="11"/>
      <c r="P1041" s="11">
        <v>285</v>
      </c>
      <c r="Q1041" s="11"/>
      <c r="R1041" s="11">
        <v>251</v>
      </c>
      <c r="S1041" s="11"/>
      <c r="T1041" s="11"/>
      <c r="U1041" s="11"/>
      <c r="V1041" s="11">
        <v>2</v>
      </c>
      <c r="W1041" s="11"/>
      <c r="X1041" s="11">
        <v>134</v>
      </c>
      <c r="Y1041" s="11">
        <v>26</v>
      </c>
      <c r="Z1041" s="11"/>
      <c r="AA1041" s="11"/>
      <c r="AB1041" s="11"/>
      <c r="AC1041" s="11">
        <v>693</v>
      </c>
      <c r="AD1041" s="11"/>
      <c r="AE1041" s="11"/>
      <c r="AF1041" s="11"/>
      <c r="AG1041" s="11"/>
      <c r="AH1041" s="11"/>
      <c r="AI1041" s="11">
        <v>34</v>
      </c>
      <c r="AJ1041" s="11"/>
      <c r="AK1041" s="11"/>
      <c r="AL1041" s="11"/>
      <c r="AM1041" s="11"/>
      <c r="AN1041" s="11">
        <v>400</v>
      </c>
      <c r="AO1041" s="11">
        <v>100</v>
      </c>
      <c r="AP1041" s="11">
        <v>227</v>
      </c>
      <c r="AQ1041" s="11"/>
      <c r="AR1041" s="11"/>
      <c r="AS1041" s="11"/>
      <c r="AT1041" s="11"/>
      <c r="AU1041" s="20" t="str">
        <f>HYPERLINK("http://www.openstreetmap.org/?mlat=34.6122&amp;mlon=43.6809&amp;zoom=12#map=12/34.6122/43.6809","Maplink1")</f>
        <v>Maplink1</v>
      </c>
      <c r="AV1041" s="20" t="str">
        <f>HYPERLINK("https://www.google.iq/maps/search/+34.6122,43.6809/@34.6122,43.6809,14z?hl=en","Maplink2")</f>
        <v>Maplink2</v>
      </c>
      <c r="AW1041" s="20" t="str">
        <f>HYPERLINK("http://www.bing.com/maps/?lvl=14&amp;sty=h&amp;cp=34.6122~43.6809&amp;sp=point.34.6122_43.6809","Maplink3")</f>
        <v>Maplink3</v>
      </c>
    </row>
    <row r="1042" spans="1:49" s="19" customFormat="1" x14ac:dyDescent="0.25">
      <c r="A1042" s="9">
        <v>22966</v>
      </c>
      <c r="B1042" s="10" t="s">
        <v>22</v>
      </c>
      <c r="C1042" s="10" t="s">
        <v>1486</v>
      </c>
      <c r="D1042" s="10" t="s">
        <v>2063</v>
      </c>
      <c r="E1042" s="10" t="s">
        <v>1541</v>
      </c>
      <c r="F1042" s="10">
        <v>34.588332110000003</v>
      </c>
      <c r="G1042" s="10">
        <v>43.681835020000001</v>
      </c>
      <c r="H1042" s="11">
        <v>150</v>
      </c>
      <c r="I1042" s="11">
        <v>900</v>
      </c>
      <c r="J1042" s="11"/>
      <c r="K1042" s="11"/>
      <c r="L1042" s="11"/>
      <c r="M1042" s="11"/>
      <c r="N1042" s="11"/>
      <c r="O1042" s="11"/>
      <c r="P1042" s="11"/>
      <c r="Q1042" s="11"/>
      <c r="R1042" s="11">
        <v>2</v>
      </c>
      <c r="S1042" s="11"/>
      <c r="T1042" s="11"/>
      <c r="U1042" s="11"/>
      <c r="V1042" s="11"/>
      <c r="W1042" s="11"/>
      <c r="X1042" s="11">
        <v>148</v>
      </c>
      <c r="Y1042" s="11"/>
      <c r="Z1042" s="11"/>
      <c r="AA1042" s="11"/>
      <c r="AB1042" s="11"/>
      <c r="AC1042" s="11">
        <v>150</v>
      </c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>
        <v>71</v>
      </c>
      <c r="AO1042" s="11">
        <v>50</v>
      </c>
      <c r="AP1042" s="11">
        <v>29</v>
      </c>
      <c r="AQ1042" s="11"/>
      <c r="AR1042" s="11"/>
      <c r="AS1042" s="11"/>
      <c r="AT1042" s="11"/>
      <c r="AU1042" s="20" t="str">
        <f>HYPERLINK("http://www.openstreetmap.org/?mlat=34.5883&amp;mlon=43.6818&amp;zoom=12#map=12/34.5883/43.6818","Maplink1")</f>
        <v>Maplink1</v>
      </c>
      <c r="AV1042" s="20" t="str">
        <f>HYPERLINK("https://www.google.iq/maps/search/+34.5883,43.6818/@34.5883,43.6818,14z?hl=en","Maplink2")</f>
        <v>Maplink2</v>
      </c>
      <c r="AW1042" s="20" t="str">
        <f>HYPERLINK("http://www.bing.com/maps/?lvl=14&amp;sty=h&amp;cp=34.5883~43.6818&amp;sp=point.34.5883_43.6818","Maplink3")</f>
        <v>Maplink3</v>
      </c>
    </row>
    <row r="1043" spans="1:49" s="19" customFormat="1" x14ac:dyDescent="0.25">
      <c r="A1043" s="9">
        <v>28449</v>
      </c>
      <c r="B1043" s="10" t="s">
        <v>22</v>
      </c>
      <c r="C1043" s="10" t="s">
        <v>1486</v>
      </c>
      <c r="D1043" s="10" t="s">
        <v>1542</v>
      </c>
      <c r="E1043" s="10" t="s">
        <v>1543</v>
      </c>
      <c r="F1043" s="10">
        <v>34.699296169999997</v>
      </c>
      <c r="G1043" s="10">
        <v>43.709547559999997</v>
      </c>
      <c r="H1043" s="11">
        <v>575</v>
      </c>
      <c r="I1043" s="11">
        <v>3450</v>
      </c>
      <c r="J1043" s="11"/>
      <c r="K1043" s="11"/>
      <c r="L1043" s="11"/>
      <c r="M1043" s="11"/>
      <c r="N1043" s="11"/>
      <c r="O1043" s="11"/>
      <c r="P1043" s="11"/>
      <c r="Q1043" s="11"/>
      <c r="R1043" s="11">
        <v>575</v>
      </c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>
        <v>500</v>
      </c>
      <c r="AD1043" s="11">
        <v>25</v>
      </c>
      <c r="AE1043" s="11"/>
      <c r="AF1043" s="11"/>
      <c r="AG1043" s="11"/>
      <c r="AH1043" s="11"/>
      <c r="AI1043" s="11">
        <v>50</v>
      </c>
      <c r="AJ1043" s="11"/>
      <c r="AK1043" s="11"/>
      <c r="AL1043" s="11"/>
      <c r="AM1043" s="11"/>
      <c r="AN1043" s="11">
        <v>275</v>
      </c>
      <c r="AO1043" s="11">
        <v>300</v>
      </c>
      <c r="AP1043" s="11"/>
      <c r="AQ1043" s="11"/>
      <c r="AR1043" s="11"/>
      <c r="AS1043" s="11"/>
      <c r="AT1043" s="11"/>
      <c r="AU1043" s="20" t="str">
        <f>HYPERLINK("http://www.openstreetmap.org/?mlat=34.6993&amp;mlon=43.7095&amp;zoom=12#map=12/34.6993/43.7095","Maplink1")</f>
        <v>Maplink1</v>
      </c>
      <c r="AV1043" s="20" t="str">
        <f>HYPERLINK("https://www.google.iq/maps/search/+34.6993,43.7095/@34.6993,43.7095,14z?hl=en","Maplink2")</f>
        <v>Maplink2</v>
      </c>
      <c r="AW1043" s="20" t="str">
        <f>HYPERLINK("http://www.bing.com/maps/?lvl=14&amp;sty=h&amp;cp=34.6993~43.7095&amp;sp=point.34.6993_43.7095","Maplink3")</f>
        <v>Maplink3</v>
      </c>
    </row>
    <row r="1044" spans="1:49" s="19" customFormat="1" x14ac:dyDescent="0.25">
      <c r="A1044" s="9">
        <v>22470</v>
      </c>
      <c r="B1044" s="10" t="s">
        <v>22</v>
      </c>
      <c r="C1044" s="10" t="s">
        <v>1486</v>
      </c>
      <c r="D1044" s="10" t="s">
        <v>1544</v>
      </c>
      <c r="E1044" s="10" t="s">
        <v>1545</v>
      </c>
      <c r="F1044" s="10">
        <v>34.688249999999996</v>
      </c>
      <c r="G1044" s="10">
        <v>43.712161100000003</v>
      </c>
      <c r="H1044" s="11">
        <v>687</v>
      </c>
      <c r="I1044" s="11">
        <v>4122</v>
      </c>
      <c r="J1044" s="11"/>
      <c r="K1044" s="11"/>
      <c r="L1044" s="11">
        <v>250</v>
      </c>
      <c r="M1044" s="11"/>
      <c r="N1044" s="11"/>
      <c r="O1044" s="11"/>
      <c r="P1044" s="11"/>
      <c r="Q1044" s="11"/>
      <c r="R1044" s="11">
        <v>200</v>
      </c>
      <c r="S1044" s="11"/>
      <c r="T1044" s="11"/>
      <c r="U1044" s="11"/>
      <c r="V1044" s="11"/>
      <c r="W1044" s="11"/>
      <c r="X1044" s="11">
        <v>237</v>
      </c>
      <c r="Y1044" s="11"/>
      <c r="Z1044" s="11"/>
      <c r="AA1044" s="11"/>
      <c r="AB1044" s="11"/>
      <c r="AC1044" s="11">
        <v>425</v>
      </c>
      <c r="AD1044" s="11">
        <v>12</v>
      </c>
      <c r="AE1044" s="11"/>
      <c r="AF1044" s="11"/>
      <c r="AG1044" s="11"/>
      <c r="AH1044" s="11"/>
      <c r="AI1044" s="11">
        <v>250</v>
      </c>
      <c r="AJ1044" s="11"/>
      <c r="AK1044" s="11"/>
      <c r="AL1044" s="11"/>
      <c r="AM1044" s="11"/>
      <c r="AN1044" s="11">
        <v>460</v>
      </c>
      <c r="AO1044" s="11">
        <v>227</v>
      </c>
      <c r="AP1044" s="11"/>
      <c r="AQ1044" s="11"/>
      <c r="AR1044" s="11"/>
      <c r="AS1044" s="11"/>
      <c r="AT1044" s="11"/>
      <c r="AU1044" s="20" t="str">
        <f>HYPERLINK("http://www.openstreetmap.org/?mlat=34.6882&amp;mlon=43.7122&amp;zoom=12#map=12/34.6882/43.7122","Maplink1")</f>
        <v>Maplink1</v>
      </c>
      <c r="AV1044" s="20" t="str">
        <f>HYPERLINK("https://www.google.iq/maps/search/+34.6882,43.7122/@34.6882,43.7122,14z?hl=en","Maplink2")</f>
        <v>Maplink2</v>
      </c>
      <c r="AW1044" s="20" t="str">
        <f>HYPERLINK("http://www.bing.com/maps/?lvl=14&amp;sty=h&amp;cp=34.6882~43.7122&amp;sp=point.34.6882_43.7122","Maplink3")</f>
        <v>Maplink3</v>
      </c>
    </row>
    <row r="1045" spans="1:49" s="19" customFormat="1" x14ac:dyDescent="0.25">
      <c r="A1045" s="9">
        <v>25922</v>
      </c>
      <c r="B1045" s="10" t="s">
        <v>22</v>
      </c>
      <c r="C1045" s="10" t="s">
        <v>1486</v>
      </c>
      <c r="D1045" s="10" t="s">
        <v>2064</v>
      </c>
      <c r="E1045" s="10" t="s">
        <v>1548</v>
      </c>
      <c r="F1045" s="10">
        <v>34.6276997517</v>
      </c>
      <c r="G1045" s="10">
        <v>43.669932652100002</v>
      </c>
      <c r="H1045" s="11">
        <v>2152</v>
      </c>
      <c r="I1045" s="11">
        <v>12912</v>
      </c>
      <c r="J1045" s="11"/>
      <c r="K1045" s="11"/>
      <c r="L1045" s="11">
        <v>44</v>
      </c>
      <c r="M1045" s="11"/>
      <c r="N1045" s="11">
        <v>22</v>
      </c>
      <c r="O1045" s="11"/>
      <c r="P1045" s="11">
        <v>800</v>
      </c>
      <c r="Q1045" s="11"/>
      <c r="R1045" s="11">
        <v>1017</v>
      </c>
      <c r="S1045" s="11"/>
      <c r="T1045" s="11"/>
      <c r="U1045" s="11"/>
      <c r="V1045" s="11">
        <v>3</v>
      </c>
      <c r="W1045" s="11"/>
      <c r="X1045" s="11">
        <v>149</v>
      </c>
      <c r="Y1045" s="11">
        <v>117</v>
      </c>
      <c r="Z1045" s="11"/>
      <c r="AA1045" s="11"/>
      <c r="AB1045" s="11"/>
      <c r="AC1045" s="11">
        <v>1905</v>
      </c>
      <c r="AD1045" s="11"/>
      <c r="AE1045" s="11"/>
      <c r="AF1045" s="11"/>
      <c r="AG1045" s="11"/>
      <c r="AH1045" s="11"/>
      <c r="AI1045" s="11">
        <v>247</v>
      </c>
      <c r="AJ1045" s="11"/>
      <c r="AK1045" s="11"/>
      <c r="AL1045" s="11"/>
      <c r="AM1045" s="11"/>
      <c r="AN1045" s="11">
        <v>1022</v>
      </c>
      <c r="AO1045" s="11">
        <v>600</v>
      </c>
      <c r="AP1045" s="11">
        <v>530</v>
      </c>
      <c r="AQ1045" s="11"/>
      <c r="AR1045" s="11"/>
      <c r="AS1045" s="11"/>
      <c r="AT1045" s="11"/>
      <c r="AU1045" s="20" t="str">
        <f>HYPERLINK("http://www.openstreetmap.org/?mlat=34.6277&amp;mlon=43.6699&amp;zoom=12#map=12/34.6277/43.6699","Maplink1")</f>
        <v>Maplink1</v>
      </c>
      <c r="AV1045" s="20" t="str">
        <f>HYPERLINK("https://www.google.iq/maps/search/+34.6277,43.6699/@34.6277,43.6699,14z?hl=en","Maplink2")</f>
        <v>Maplink2</v>
      </c>
      <c r="AW1045" s="20" t="str">
        <f>HYPERLINK("http://www.bing.com/maps/?lvl=14&amp;sty=h&amp;cp=34.6277~43.6699&amp;sp=point.34.6277_43.6699","Maplink3")</f>
        <v>Maplink3</v>
      </c>
    </row>
    <row r="1046" spans="1:49" s="19" customFormat="1" x14ac:dyDescent="0.25">
      <c r="A1046" s="9">
        <v>23702</v>
      </c>
      <c r="B1046" s="10" t="s">
        <v>22</v>
      </c>
      <c r="C1046" s="10" t="s">
        <v>1486</v>
      </c>
      <c r="D1046" s="10" t="s">
        <v>2065</v>
      </c>
      <c r="E1046" s="10" t="s">
        <v>1487</v>
      </c>
      <c r="F1046" s="10">
        <v>34.658339086200002</v>
      </c>
      <c r="G1046" s="10">
        <v>43.652287586299998</v>
      </c>
      <c r="H1046" s="11">
        <v>1271</v>
      </c>
      <c r="I1046" s="11">
        <v>7626</v>
      </c>
      <c r="J1046" s="11"/>
      <c r="K1046" s="11"/>
      <c r="L1046" s="11">
        <v>100</v>
      </c>
      <c r="M1046" s="11"/>
      <c r="N1046" s="11">
        <v>100</v>
      </c>
      <c r="O1046" s="11"/>
      <c r="P1046" s="11">
        <v>300</v>
      </c>
      <c r="Q1046" s="11"/>
      <c r="R1046" s="11">
        <v>445</v>
      </c>
      <c r="S1046" s="11"/>
      <c r="T1046" s="11"/>
      <c r="U1046" s="11"/>
      <c r="V1046" s="11">
        <v>3</v>
      </c>
      <c r="W1046" s="11"/>
      <c r="X1046" s="11">
        <v>283</v>
      </c>
      <c r="Y1046" s="11">
        <v>40</v>
      </c>
      <c r="Z1046" s="11"/>
      <c r="AA1046" s="11"/>
      <c r="AB1046" s="11"/>
      <c r="AC1046" s="11">
        <v>1127</v>
      </c>
      <c r="AD1046" s="11"/>
      <c r="AE1046" s="11"/>
      <c r="AF1046" s="11">
        <v>30</v>
      </c>
      <c r="AG1046" s="11"/>
      <c r="AH1046" s="11"/>
      <c r="AI1046" s="11">
        <v>114</v>
      </c>
      <c r="AJ1046" s="11"/>
      <c r="AK1046" s="11"/>
      <c r="AL1046" s="11"/>
      <c r="AM1046" s="11"/>
      <c r="AN1046" s="11">
        <v>606</v>
      </c>
      <c r="AO1046" s="11">
        <v>400</v>
      </c>
      <c r="AP1046" s="11">
        <v>85</v>
      </c>
      <c r="AQ1046" s="11">
        <v>180</v>
      </c>
      <c r="AR1046" s="11"/>
      <c r="AS1046" s="11"/>
      <c r="AT1046" s="11"/>
      <c r="AU1046" s="20" t="str">
        <f>HYPERLINK("http://www.openstreetmap.org/?mlat=34.6583&amp;mlon=43.6523&amp;zoom=12#map=12/34.6583/43.6523","Maplink1")</f>
        <v>Maplink1</v>
      </c>
      <c r="AV1046" s="20" t="str">
        <f>HYPERLINK("https://www.google.iq/maps/search/+34.6583,43.6523/@34.6583,43.6523,14z?hl=en","Maplink2")</f>
        <v>Maplink2</v>
      </c>
      <c r="AW1046" s="20" t="str">
        <f>HYPERLINK("http://www.bing.com/maps/?lvl=14&amp;sty=h&amp;cp=34.6583~43.6523&amp;sp=point.34.6583_43.6523","Maplink3")</f>
        <v>Maplink3</v>
      </c>
    </row>
    <row r="1047" spans="1:49" s="19" customFormat="1" x14ac:dyDescent="0.25">
      <c r="A1047" s="9">
        <v>25923</v>
      </c>
      <c r="B1047" s="10" t="s">
        <v>22</v>
      </c>
      <c r="C1047" s="10" t="s">
        <v>1486</v>
      </c>
      <c r="D1047" s="10" t="s">
        <v>2066</v>
      </c>
      <c r="E1047" s="10" t="s">
        <v>1549</v>
      </c>
      <c r="F1047" s="10">
        <v>34.649075195899997</v>
      </c>
      <c r="G1047" s="10">
        <v>43.654316440000002</v>
      </c>
      <c r="H1047" s="11">
        <v>2268</v>
      </c>
      <c r="I1047" s="11">
        <v>13608</v>
      </c>
      <c r="J1047" s="11"/>
      <c r="K1047" s="11"/>
      <c r="L1047" s="11">
        <v>151</v>
      </c>
      <c r="M1047" s="11"/>
      <c r="N1047" s="11">
        <v>100</v>
      </c>
      <c r="O1047" s="11"/>
      <c r="P1047" s="11">
        <v>503</v>
      </c>
      <c r="Q1047" s="11"/>
      <c r="R1047" s="11">
        <v>1006</v>
      </c>
      <c r="S1047" s="11"/>
      <c r="T1047" s="11"/>
      <c r="U1047" s="11"/>
      <c r="V1047" s="11">
        <v>1</v>
      </c>
      <c r="W1047" s="11"/>
      <c r="X1047" s="11">
        <v>207</v>
      </c>
      <c r="Y1047" s="11">
        <v>300</v>
      </c>
      <c r="Z1047" s="11"/>
      <c r="AA1047" s="11"/>
      <c r="AB1047" s="11"/>
      <c r="AC1047" s="11">
        <v>1948</v>
      </c>
      <c r="AD1047" s="11"/>
      <c r="AE1047" s="11"/>
      <c r="AF1047" s="11"/>
      <c r="AG1047" s="11"/>
      <c r="AH1047" s="11"/>
      <c r="AI1047" s="11">
        <v>320</v>
      </c>
      <c r="AJ1047" s="11"/>
      <c r="AK1047" s="11"/>
      <c r="AL1047" s="11"/>
      <c r="AM1047" s="11"/>
      <c r="AN1047" s="11">
        <v>1000</v>
      </c>
      <c r="AO1047" s="11">
        <v>600</v>
      </c>
      <c r="AP1047" s="11">
        <v>668</v>
      </c>
      <c r="AQ1047" s="11"/>
      <c r="AR1047" s="11"/>
      <c r="AS1047" s="11"/>
      <c r="AT1047" s="11"/>
      <c r="AU1047" s="20" t="str">
        <f>HYPERLINK("http://www.openstreetmap.org/?mlat=34.6491&amp;mlon=43.6543&amp;zoom=12#map=12/34.6491/43.6543","Maplink1")</f>
        <v>Maplink1</v>
      </c>
      <c r="AV1047" s="20" t="str">
        <f>HYPERLINK("https://www.google.iq/maps/search/+34.6491,43.6543/@34.6491,43.6543,14z?hl=en","Maplink2")</f>
        <v>Maplink2</v>
      </c>
      <c r="AW1047" s="20" t="str">
        <f>HYPERLINK("http://www.bing.com/maps/?lvl=14&amp;sty=h&amp;cp=34.6491~43.6543&amp;sp=point.34.6491_43.6543","Maplink3")</f>
        <v>Maplink3</v>
      </c>
    </row>
    <row r="1048" spans="1:49" s="19" customFormat="1" x14ac:dyDescent="0.25">
      <c r="A1048" s="9">
        <v>22059</v>
      </c>
      <c r="B1048" s="10" t="s">
        <v>22</v>
      </c>
      <c r="C1048" s="10" t="s">
        <v>1486</v>
      </c>
      <c r="D1048" s="10" t="s">
        <v>1546</v>
      </c>
      <c r="E1048" s="10" t="s">
        <v>1547</v>
      </c>
      <c r="F1048" s="10">
        <v>34.792707622999998</v>
      </c>
      <c r="G1048" s="10">
        <v>43.611043542600001</v>
      </c>
      <c r="H1048" s="11">
        <v>410</v>
      </c>
      <c r="I1048" s="11">
        <v>2460</v>
      </c>
      <c r="J1048" s="11"/>
      <c r="K1048" s="11"/>
      <c r="L1048" s="11"/>
      <c r="M1048" s="11"/>
      <c r="N1048" s="11"/>
      <c r="O1048" s="11"/>
      <c r="P1048" s="11"/>
      <c r="Q1048" s="11"/>
      <c r="R1048" s="11">
        <v>410</v>
      </c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>
        <v>410</v>
      </c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>
        <v>410</v>
      </c>
      <c r="AQ1048" s="11"/>
      <c r="AR1048" s="11"/>
      <c r="AS1048" s="11"/>
      <c r="AT1048" s="11"/>
      <c r="AU1048" s="20" t="str">
        <f>HYPERLINK("http://www.openstreetmap.org/?mlat=34.7927&amp;mlon=43.611&amp;zoom=12#map=12/34.7927/43.611","Maplink1")</f>
        <v>Maplink1</v>
      </c>
      <c r="AV1048" s="20" t="str">
        <f>HYPERLINK("https://www.google.iq/maps/search/+34.7927,43.611/@34.7927,43.611,14z?hl=en","Maplink2")</f>
        <v>Maplink2</v>
      </c>
      <c r="AW1048" s="20" t="str">
        <f>HYPERLINK("http://www.bing.com/maps/?lvl=14&amp;sty=h&amp;cp=34.7927~43.611&amp;sp=point.34.7927_43.611","Maplink3")</f>
        <v>Maplink3</v>
      </c>
    </row>
    <row r="1049" spans="1:49" s="19" customFormat="1" x14ac:dyDescent="0.25">
      <c r="A1049" s="9">
        <v>22180</v>
      </c>
      <c r="B1049" s="10" t="s">
        <v>22</v>
      </c>
      <c r="C1049" s="10" t="s">
        <v>1486</v>
      </c>
      <c r="D1049" s="10" t="s">
        <v>1550</v>
      </c>
      <c r="E1049" s="10" t="s">
        <v>1551</v>
      </c>
      <c r="F1049" s="10">
        <v>34.602524838400001</v>
      </c>
      <c r="G1049" s="10">
        <v>43.722559316100003</v>
      </c>
      <c r="H1049" s="11">
        <v>1481</v>
      </c>
      <c r="I1049" s="11">
        <v>8886</v>
      </c>
      <c r="J1049" s="11"/>
      <c r="K1049" s="11"/>
      <c r="L1049" s="11">
        <v>4</v>
      </c>
      <c r="M1049" s="11"/>
      <c r="N1049" s="11"/>
      <c r="O1049" s="11"/>
      <c r="P1049" s="11">
        <v>307</v>
      </c>
      <c r="Q1049" s="11"/>
      <c r="R1049" s="11">
        <v>1152</v>
      </c>
      <c r="S1049" s="11"/>
      <c r="T1049" s="11"/>
      <c r="U1049" s="11"/>
      <c r="V1049" s="11"/>
      <c r="W1049" s="11"/>
      <c r="X1049" s="11">
        <v>10</v>
      </c>
      <c r="Y1049" s="11">
        <v>8</v>
      </c>
      <c r="Z1049" s="11"/>
      <c r="AA1049" s="11"/>
      <c r="AB1049" s="11"/>
      <c r="AC1049" s="11">
        <v>181</v>
      </c>
      <c r="AD1049" s="11">
        <v>300</v>
      </c>
      <c r="AE1049" s="11"/>
      <c r="AF1049" s="11">
        <v>300</v>
      </c>
      <c r="AG1049" s="11">
        <v>400</v>
      </c>
      <c r="AH1049" s="11"/>
      <c r="AI1049" s="11"/>
      <c r="AJ1049" s="11"/>
      <c r="AK1049" s="11">
        <v>300</v>
      </c>
      <c r="AL1049" s="11"/>
      <c r="AM1049" s="11"/>
      <c r="AN1049" s="11">
        <v>136</v>
      </c>
      <c r="AO1049" s="11">
        <v>162</v>
      </c>
      <c r="AP1049" s="11">
        <v>1183</v>
      </c>
      <c r="AQ1049" s="11"/>
      <c r="AR1049" s="11"/>
      <c r="AS1049" s="11"/>
      <c r="AT1049" s="11"/>
      <c r="AU1049" s="20" t="str">
        <f>HYPERLINK("http://www.openstreetmap.org/?mlat=34.6025&amp;mlon=43.7226&amp;zoom=12#map=12/34.6025/43.7226","Maplink1")</f>
        <v>Maplink1</v>
      </c>
      <c r="AV1049" s="20" t="str">
        <f>HYPERLINK("https://www.google.iq/maps/search/+34.6025,43.7226/@34.6025,43.7226,14z?hl=en","Maplink2")</f>
        <v>Maplink2</v>
      </c>
      <c r="AW1049" s="20" t="str">
        <f>HYPERLINK("http://www.bing.com/maps/?lvl=14&amp;sty=h&amp;cp=34.6025~43.7226&amp;sp=point.34.6025_43.7226","Maplink3")</f>
        <v>Maplink3</v>
      </c>
    </row>
    <row r="1050" spans="1:49" s="19" customFormat="1" x14ac:dyDescent="0.25">
      <c r="A1050" s="9">
        <v>20612</v>
      </c>
      <c r="B1050" s="10" t="s">
        <v>22</v>
      </c>
      <c r="C1050" s="10" t="s">
        <v>1486</v>
      </c>
      <c r="D1050" s="10" t="s">
        <v>1552</v>
      </c>
      <c r="E1050" s="10" t="s">
        <v>1553</v>
      </c>
      <c r="F1050" s="10">
        <v>34.748233705799997</v>
      </c>
      <c r="G1050" s="10">
        <v>43.668342400299998</v>
      </c>
      <c r="H1050" s="11">
        <v>110</v>
      </c>
      <c r="I1050" s="11">
        <v>660</v>
      </c>
      <c r="J1050" s="11"/>
      <c r="K1050" s="11"/>
      <c r="L1050" s="11"/>
      <c r="M1050" s="11"/>
      <c r="N1050" s="11"/>
      <c r="O1050" s="11"/>
      <c r="P1050" s="11"/>
      <c r="Q1050" s="11"/>
      <c r="R1050" s="11">
        <v>110</v>
      </c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>
        <v>106</v>
      </c>
      <c r="AD1050" s="11">
        <v>4</v>
      </c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>
        <v>10</v>
      </c>
      <c r="AO1050" s="11"/>
      <c r="AP1050" s="11">
        <v>100</v>
      </c>
      <c r="AQ1050" s="11"/>
      <c r="AR1050" s="11"/>
      <c r="AS1050" s="11"/>
      <c r="AT1050" s="11"/>
      <c r="AU1050" s="20" t="str">
        <f>HYPERLINK("http://www.openstreetmap.org/?mlat=34.7482&amp;mlon=43.6683&amp;zoom=12#map=12/34.7482/43.6683","Maplink1")</f>
        <v>Maplink1</v>
      </c>
      <c r="AV1050" s="20" t="str">
        <f>HYPERLINK("https://www.google.iq/maps/search/+34.7482,43.6683/@34.7482,43.6683,14z?hl=en","Maplink2")</f>
        <v>Maplink2</v>
      </c>
      <c r="AW1050" s="20" t="str">
        <f>HYPERLINK("http://www.bing.com/maps/?lvl=14&amp;sty=h&amp;cp=34.7482~43.6683&amp;sp=point.34.7482_43.6683","Maplink3")</f>
        <v>Maplink3</v>
      </c>
    </row>
    <row r="1051" spans="1:49" s="19" customFormat="1" x14ac:dyDescent="0.25">
      <c r="A1051" s="9">
        <v>25950</v>
      </c>
      <c r="B1051" s="10" t="s">
        <v>22</v>
      </c>
      <c r="C1051" s="10" t="s">
        <v>1486</v>
      </c>
      <c r="D1051" s="10" t="s">
        <v>1554</v>
      </c>
      <c r="E1051" s="10" t="s">
        <v>1555</v>
      </c>
      <c r="F1051" s="10">
        <v>34.82091767</v>
      </c>
      <c r="G1051" s="10">
        <v>43.578059060000001</v>
      </c>
      <c r="H1051" s="11">
        <v>530</v>
      </c>
      <c r="I1051" s="11">
        <v>3180</v>
      </c>
      <c r="J1051" s="11"/>
      <c r="K1051" s="11"/>
      <c r="L1051" s="11"/>
      <c r="M1051" s="11"/>
      <c r="N1051" s="11"/>
      <c r="O1051" s="11"/>
      <c r="P1051" s="11"/>
      <c r="Q1051" s="11"/>
      <c r="R1051" s="11">
        <v>265</v>
      </c>
      <c r="S1051" s="11"/>
      <c r="T1051" s="11"/>
      <c r="U1051" s="11"/>
      <c r="V1051" s="11"/>
      <c r="W1051" s="11"/>
      <c r="X1051" s="11">
        <v>265</v>
      </c>
      <c r="Y1051" s="11"/>
      <c r="Z1051" s="11"/>
      <c r="AA1051" s="11"/>
      <c r="AB1051" s="11"/>
      <c r="AC1051" s="11">
        <v>500</v>
      </c>
      <c r="AD1051" s="11"/>
      <c r="AE1051" s="11"/>
      <c r="AF1051" s="11">
        <v>30</v>
      </c>
      <c r="AG1051" s="11"/>
      <c r="AH1051" s="11"/>
      <c r="AI1051" s="11"/>
      <c r="AJ1051" s="11"/>
      <c r="AK1051" s="11"/>
      <c r="AL1051" s="11"/>
      <c r="AM1051" s="11"/>
      <c r="AN1051" s="11">
        <v>100</v>
      </c>
      <c r="AO1051" s="11">
        <v>200</v>
      </c>
      <c r="AP1051" s="11">
        <v>230</v>
      </c>
      <c r="AQ1051" s="11"/>
      <c r="AR1051" s="11"/>
      <c r="AS1051" s="11"/>
      <c r="AT1051" s="11"/>
      <c r="AU1051" s="20" t="str">
        <f>HYPERLINK("http://www.openstreetmap.org/?mlat=34.8209&amp;mlon=43.5781&amp;zoom=12#map=12/34.8209/43.5781","Maplink1")</f>
        <v>Maplink1</v>
      </c>
      <c r="AV1051" s="20" t="str">
        <f>HYPERLINK("https://www.google.iq/maps/search/+34.8209,43.5781/@34.8209,43.5781,14z?hl=en","Maplink2")</f>
        <v>Maplink2</v>
      </c>
      <c r="AW1051" s="20" t="str">
        <f>HYPERLINK("http://www.bing.com/maps/?lvl=14&amp;sty=h&amp;cp=34.8209~43.5781&amp;sp=point.34.8209_43.5781","Maplink3")</f>
        <v>Maplink3</v>
      </c>
    </row>
    <row r="1052" spans="1:49" s="19" customFormat="1" x14ac:dyDescent="0.25">
      <c r="A1052" s="9">
        <v>20666</v>
      </c>
      <c r="B1052" s="10" t="s">
        <v>22</v>
      </c>
      <c r="C1052" s="10" t="s">
        <v>1486</v>
      </c>
      <c r="D1052" s="10" t="s">
        <v>1556</v>
      </c>
      <c r="E1052" s="10" t="s">
        <v>1557</v>
      </c>
      <c r="F1052" s="10">
        <v>34.472761230000003</v>
      </c>
      <c r="G1052" s="10">
        <v>43.734200289999997</v>
      </c>
      <c r="H1052" s="11">
        <v>615</v>
      </c>
      <c r="I1052" s="11">
        <v>3690</v>
      </c>
      <c r="J1052" s="11"/>
      <c r="K1052" s="11"/>
      <c r="L1052" s="11">
        <v>13</v>
      </c>
      <c r="M1052" s="11"/>
      <c r="N1052" s="11"/>
      <c r="O1052" s="11"/>
      <c r="P1052" s="11">
        <v>96</v>
      </c>
      <c r="Q1052" s="11"/>
      <c r="R1052" s="11">
        <v>326</v>
      </c>
      <c r="S1052" s="11"/>
      <c r="T1052" s="11"/>
      <c r="U1052" s="11"/>
      <c r="V1052" s="11"/>
      <c r="W1052" s="11"/>
      <c r="X1052" s="11">
        <v>108</v>
      </c>
      <c r="Y1052" s="11">
        <v>72</v>
      </c>
      <c r="Z1052" s="11"/>
      <c r="AA1052" s="11"/>
      <c r="AB1052" s="11"/>
      <c r="AC1052" s="11">
        <v>530</v>
      </c>
      <c r="AD1052" s="11"/>
      <c r="AE1052" s="11"/>
      <c r="AF1052" s="11"/>
      <c r="AG1052" s="11"/>
      <c r="AH1052" s="11"/>
      <c r="AI1052" s="11">
        <v>85</v>
      </c>
      <c r="AJ1052" s="11"/>
      <c r="AK1052" s="11"/>
      <c r="AL1052" s="11"/>
      <c r="AM1052" s="11"/>
      <c r="AN1052" s="11">
        <v>576</v>
      </c>
      <c r="AO1052" s="11">
        <v>39</v>
      </c>
      <c r="AP1052" s="11"/>
      <c r="AQ1052" s="11"/>
      <c r="AR1052" s="11"/>
      <c r="AS1052" s="11"/>
      <c r="AT1052" s="11"/>
      <c r="AU1052" s="20" t="str">
        <f>HYPERLINK("http://www.openstreetmap.org/?mlat=34.4728&amp;mlon=43.7342&amp;zoom=12#map=12/34.4728/43.7342","Maplink1")</f>
        <v>Maplink1</v>
      </c>
      <c r="AV1052" s="20" t="str">
        <f>HYPERLINK("https://www.google.iq/maps/search/+34.4728,43.7342/@34.4728,43.7342,14z?hl=en","Maplink2")</f>
        <v>Maplink2</v>
      </c>
      <c r="AW1052" s="20" t="str">
        <f>HYPERLINK("http://www.bing.com/maps/?lvl=14&amp;sty=h&amp;cp=34.4728~43.7342&amp;sp=point.34.4728_43.7342","Maplink3")</f>
        <v>Maplink3</v>
      </c>
    </row>
    <row r="1053" spans="1:49" s="19" customFormat="1" x14ac:dyDescent="0.25">
      <c r="A1053" s="9">
        <v>20425</v>
      </c>
      <c r="B1053" s="10" t="s">
        <v>22</v>
      </c>
      <c r="C1053" s="10" t="s">
        <v>1558</v>
      </c>
      <c r="D1053" s="10" t="s">
        <v>1559</v>
      </c>
      <c r="E1053" s="10" t="s">
        <v>1560</v>
      </c>
      <c r="F1053" s="10">
        <v>34.796410000000002</v>
      </c>
      <c r="G1053" s="10">
        <v>44.584961999999997</v>
      </c>
      <c r="H1053" s="11">
        <v>351</v>
      </c>
      <c r="I1053" s="11">
        <v>2106</v>
      </c>
      <c r="J1053" s="11"/>
      <c r="K1053" s="11"/>
      <c r="L1053" s="11">
        <v>21</v>
      </c>
      <c r="M1053" s="11"/>
      <c r="N1053" s="11"/>
      <c r="O1053" s="11"/>
      <c r="P1053" s="11"/>
      <c r="Q1053" s="11">
        <v>130</v>
      </c>
      <c r="R1053" s="11">
        <v>100</v>
      </c>
      <c r="S1053" s="11"/>
      <c r="T1053" s="11"/>
      <c r="U1053" s="11">
        <v>40</v>
      </c>
      <c r="V1053" s="11"/>
      <c r="W1053" s="11"/>
      <c r="X1053" s="11">
        <v>60</v>
      </c>
      <c r="Y1053" s="11"/>
      <c r="Z1053" s="11"/>
      <c r="AA1053" s="11"/>
      <c r="AB1053" s="11"/>
      <c r="AC1053" s="11">
        <v>330</v>
      </c>
      <c r="AD1053" s="11">
        <v>21</v>
      </c>
      <c r="AE1053" s="11"/>
      <c r="AF1053" s="11"/>
      <c r="AG1053" s="11"/>
      <c r="AH1053" s="11"/>
      <c r="AI1053" s="11"/>
      <c r="AJ1053" s="11"/>
      <c r="AK1053" s="11"/>
      <c r="AL1053" s="11"/>
      <c r="AM1053" s="11">
        <v>300</v>
      </c>
      <c r="AN1053" s="11">
        <v>51</v>
      </c>
      <c r="AO1053" s="11"/>
      <c r="AP1053" s="11"/>
      <c r="AQ1053" s="11"/>
      <c r="AR1053" s="11"/>
      <c r="AS1053" s="11"/>
      <c r="AT1053" s="11"/>
      <c r="AU1053" s="20" t="str">
        <f>HYPERLINK("http://www.openstreetmap.org/?mlat=34.7964&amp;mlon=44.585&amp;zoom=12#map=12/34.7964/44.585","Maplink1")</f>
        <v>Maplink1</v>
      </c>
      <c r="AV1053" s="20" t="str">
        <f>HYPERLINK("https://www.google.iq/maps/search/+34.7964,44.585/@34.7964,44.585,14z?hl=en","Maplink2")</f>
        <v>Maplink2</v>
      </c>
      <c r="AW1053" s="20" t="str">
        <f>HYPERLINK("http://www.bing.com/maps/?lvl=14&amp;sty=h&amp;cp=34.7964~44.585&amp;sp=point.34.7964_44.585","Maplink3")</f>
        <v>Maplink3</v>
      </c>
    </row>
    <row r="1054" spans="1:49" s="19" customFormat="1" x14ac:dyDescent="0.25">
      <c r="A1054" s="9">
        <v>20484</v>
      </c>
      <c r="B1054" s="10" t="s">
        <v>22</v>
      </c>
      <c r="C1054" s="10" t="s">
        <v>1558</v>
      </c>
      <c r="D1054" s="10" t="s">
        <v>1561</v>
      </c>
      <c r="E1054" s="10" t="s">
        <v>1562</v>
      </c>
      <c r="F1054" s="10">
        <v>34.818984</v>
      </c>
      <c r="G1054" s="10">
        <v>44.557499</v>
      </c>
      <c r="H1054" s="11">
        <v>328</v>
      </c>
      <c r="I1054" s="11">
        <v>1968</v>
      </c>
      <c r="J1054" s="11"/>
      <c r="K1054" s="11"/>
      <c r="L1054" s="11">
        <v>15</v>
      </c>
      <c r="M1054" s="11"/>
      <c r="N1054" s="11"/>
      <c r="O1054" s="11"/>
      <c r="P1054" s="11"/>
      <c r="Q1054" s="11">
        <v>50</v>
      </c>
      <c r="R1054" s="11">
        <v>35</v>
      </c>
      <c r="S1054" s="11"/>
      <c r="T1054" s="11"/>
      <c r="U1054" s="11">
        <v>35</v>
      </c>
      <c r="V1054" s="11"/>
      <c r="W1054" s="11"/>
      <c r="X1054" s="11">
        <v>193</v>
      </c>
      <c r="Y1054" s="11"/>
      <c r="Z1054" s="11"/>
      <c r="AA1054" s="11"/>
      <c r="AB1054" s="11"/>
      <c r="AC1054" s="11">
        <v>300</v>
      </c>
      <c r="AD1054" s="11">
        <v>28</v>
      </c>
      <c r="AE1054" s="11"/>
      <c r="AF1054" s="11"/>
      <c r="AG1054" s="11"/>
      <c r="AH1054" s="11"/>
      <c r="AI1054" s="11"/>
      <c r="AJ1054" s="11"/>
      <c r="AK1054" s="11"/>
      <c r="AL1054" s="11"/>
      <c r="AM1054" s="11">
        <v>298</v>
      </c>
      <c r="AN1054" s="11">
        <v>30</v>
      </c>
      <c r="AO1054" s="11"/>
      <c r="AP1054" s="11"/>
      <c r="AQ1054" s="11"/>
      <c r="AR1054" s="11"/>
      <c r="AS1054" s="11"/>
      <c r="AT1054" s="11"/>
      <c r="AU1054" s="20" t="str">
        <f>HYPERLINK("http://www.openstreetmap.org/?mlat=34.819&amp;mlon=44.5575&amp;zoom=12#map=12/34.819/44.5575","Maplink1")</f>
        <v>Maplink1</v>
      </c>
      <c r="AV1054" s="20" t="str">
        <f>HYPERLINK("https://www.google.iq/maps/search/+34.819,44.5575/@34.819,44.5575,14z?hl=en","Maplink2")</f>
        <v>Maplink2</v>
      </c>
      <c r="AW1054" s="20" t="str">
        <f>HYPERLINK("http://www.bing.com/maps/?lvl=14&amp;sty=h&amp;cp=34.819~44.5575&amp;sp=point.34.819_44.5575","Maplink3")</f>
        <v>Maplink3</v>
      </c>
    </row>
    <row r="1055" spans="1:49" s="19" customFormat="1" x14ac:dyDescent="0.25">
      <c r="A1055" s="9">
        <v>27235</v>
      </c>
      <c r="B1055" s="10" t="s">
        <v>22</v>
      </c>
      <c r="C1055" s="10" t="s">
        <v>1558</v>
      </c>
      <c r="D1055" s="10" t="s">
        <v>1563</v>
      </c>
      <c r="E1055" s="10" t="s">
        <v>1564</v>
      </c>
      <c r="F1055" s="10">
        <v>34.730262000000003</v>
      </c>
      <c r="G1055" s="10">
        <v>44.589300000000001</v>
      </c>
      <c r="H1055" s="11">
        <v>35</v>
      </c>
      <c r="I1055" s="11">
        <v>210</v>
      </c>
      <c r="J1055" s="11"/>
      <c r="K1055" s="11"/>
      <c r="L1055" s="11">
        <v>5</v>
      </c>
      <c r="M1055" s="11"/>
      <c r="N1055" s="11"/>
      <c r="O1055" s="11"/>
      <c r="P1055" s="11"/>
      <c r="Q1055" s="11">
        <v>5</v>
      </c>
      <c r="R1055" s="11">
        <v>5</v>
      </c>
      <c r="S1055" s="11"/>
      <c r="T1055" s="11"/>
      <c r="U1055" s="11">
        <v>10</v>
      </c>
      <c r="V1055" s="11"/>
      <c r="W1055" s="11"/>
      <c r="X1055" s="11">
        <v>10</v>
      </c>
      <c r="Y1055" s="11"/>
      <c r="Z1055" s="11"/>
      <c r="AA1055" s="11"/>
      <c r="AB1055" s="11"/>
      <c r="AC1055" s="11">
        <v>35</v>
      </c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>
        <v>35</v>
      </c>
      <c r="AN1055" s="11"/>
      <c r="AO1055" s="11"/>
      <c r="AP1055" s="11"/>
      <c r="AQ1055" s="11"/>
      <c r="AR1055" s="11"/>
      <c r="AS1055" s="11"/>
      <c r="AT1055" s="11"/>
      <c r="AU1055" s="20" t="str">
        <f>HYPERLINK("http://www.openstreetmap.org/?mlat=34.7303&amp;mlon=44.5893&amp;zoom=12#map=12/34.7303/44.5893","Maplink1")</f>
        <v>Maplink1</v>
      </c>
      <c r="AV1055" s="20" t="str">
        <f>HYPERLINK("https://www.google.iq/maps/search/+34.7303,44.5893/@34.7303,44.5893,14z?hl=en","Maplink2")</f>
        <v>Maplink2</v>
      </c>
      <c r="AW1055" s="20" t="str">
        <f>HYPERLINK("http://www.bing.com/maps/?lvl=14&amp;sty=h&amp;cp=34.7303~44.5893&amp;sp=point.34.7303_44.5893","Maplink3")</f>
        <v>Maplink3</v>
      </c>
    </row>
    <row r="1056" spans="1:49" s="19" customFormat="1" x14ac:dyDescent="0.25">
      <c r="A1056" s="9">
        <v>27238</v>
      </c>
      <c r="B1056" s="10" t="s">
        <v>22</v>
      </c>
      <c r="C1056" s="10" t="s">
        <v>1558</v>
      </c>
      <c r="D1056" s="10" t="s">
        <v>1565</v>
      </c>
      <c r="E1056" s="10" t="s">
        <v>1566</v>
      </c>
      <c r="F1056" s="10">
        <v>34.722593000000003</v>
      </c>
      <c r="G1056" s="10">
        <v>44.583936999999999</v>
      </c>
      <c r="H1056" s="11">
        <v>25</v>
      </c>
      <c r="I1056" s="11">
        <v>150</v>
      </c>
      <c r="J1056" s="11"/>
      <c r="K1056" s="11"/>
      <c r="L1056" s="11">
        <v>5</v>
      </c>
      <c r="M1056" s="11"/>
      <c r="N1056" s="11"/>
      <c r="O1056" s="11"/>
      <c r="P1056" s="11"/>
      <c r="Q1056" s="11">
        <v>5</v>
      </c>
      <c r="R1056" s="11">
        <v>5</v>
      </c>
      <c r="S1056" s="11"/>
      <c r="T1056" s="11"/>
      <c r="U1056" s="11">
        <v>3</v>
      </c>
      <c r="V1056" s="11"/>
      <c r="W1056" s="11"/>
      <c r="X1056" s="11">
        <v>7</v>
      </c>
      <c r="Y1056" s="11"/>
      <c r="Z1056" s="11"/>
      <c r="AA1056" s="11"/>
      <c r="AB1056" s="11"/>
      <c r="AC1056" s="11">
        <v>25</v>
      </c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>
        <v>25</v>
      </c>
      <c r="AN1056" s="11"/>
      <c r="AO1056" s="11"/>
      <c r="AP1056" s="11"/>
      <c r="AQ1056" s="11"/>
      <c r="AR1056" s="11"/>
      <c r="AS1056" s="11"/>
      <c r="AT1056" s="11"/>
      <c r="AU1056" s="20" t="str">
        <f>HYPERLINK("http://www.openstreetmap.org/?mlat=34.7226&amp;mlon=44.5839&amp;zoom=12#map=12/34.7226/44.5839","Maplink1")</f>
        <v>Maplink1</v>
      </c>
      <c r="AV1056" s="20" t="str">
        <f>HYPERLINK("https://www.google.iq/maps/search/+34.7226,44.5839/@34.7226,44.5839,14z?hl=en","Maplink2")</f>
        <v>Maplink2</v>
      </c>
      <c r="AW1056" s="20" t="str">
        <f>HYPERLINK("http://www.bing.com/maps/?lvl=14&amp;sty=h&amp;cp=34.7226~44.5839&amp;sp=point.34.7226_44.5839","Maplink3")</f>
        <v>Maplink3</v>
      </c>
    </row>
    <row r="1057" spans="1:49" s="19" customFormat="1" x14ac:dyDescent="0.25">
      <c r="A1057" s="9">
        <v>27234</v>
      </c>
      <c r="B1057" s="10" t="s">
        <v>22</v>
      </c>
      <c r="C1057" s="10" t="s">
        <v>1558</v>
      </c>
      <c r="D1057" s="10" t="s">
        <v>1567</v>
      </c>
      <c r="E1057" s="10" t="s">
        <v>90</v>
      </c>
      <c r="F1057" s="10">
        <v>34.726584000000003</v>
      </c>
      <c r="G1057" s="10">
        <v>44.584608000000003</v>
      </c>
      <c r="H1057" s="11">
        <v>85</v>
      </c>
      <c r="I1057" s="11">
        <v>510</v>
      </c>
      <c r="J1057" s="11"/>
      <c r="K1057" s="11"/>
      <c r="L1057" s="11"/>
      <c r="M1057" s="11"/>
      <c r="N1057" s="11"/>
      <c r="O1057" s="11"/>
      <c r="P1057" s="11"/>
      <c r="Q1057" s="11">
        <v>15</v>
      </c>
      <c r="R1057" s="11">
        <v>30</v>
      </c>
      <c r="S1057" s="11"/>
      <c r="T1057" s="11"/>
      <c r="U1057" s="11">
        <v>10</v>
      </c>
      <c r="V1057" s="11"/>
      <c r="W1057" s="11"/>
      <c r="X1057" s="11">
        <v>30</v>
      </c>
      <c r="Y1057" s="11"/>
      <c r="Z1057" s="11"/>
      <c r="AA1057" s="11"/>
      <c r="AB1057" s="11"/>
      <c r="AC1057" s="11">
        <v>85</v>
      </c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>
        <v>65</v>
      </c>
      <c r="AN1057" s="11">
        <v>20</v>
      </c>
      <c r="AO1057" s="11"/>
      <c r="AP1057" s="11"/>
      <c r="AQ1057" s="11"/>
      <c r="AR1057" s="11"/>
      <c r="AS1057" s="11"/>
      <c r="AT1057" s="11"/>
      <c r="AU1057" s="20" t="str">
        <f>HYPERLINK("http://www.openstreetmap.org/?mlat=34.7266&amp;mlon=44.5846&amp;zoom=12#map=12/34.7266/44.5846","Maplink1")</f>
        <v>Maplink1</v>
      </c>
      <c r="AV1057" s="20" t="str">
        <f>HYPERLINK("https://www.google.iq/maps/search/+34.7266,44.5846/@34.7266,44.5846,14z?hl=en","Maplink2")</f>
        <v>Maplink2</v>
      </c>
      <c r="AW1057" s="20" t="str">
        <f>HYPERLINK("http://www.bing.com/maps/?lvl=14&amp;sty=h&amp;cp=34.7266~44.5846&amp;sp=point.34.7266_44.5846","Maplink3")</f>
        <v>Maplink3</v>
      </c>
    </row>
    <row r="1058" spans="1:49" s="19" customFormat="1" x14ac:dyDescent="0.25">
      <c r="A1058" s="9">
        <v>27236</v>
      </c>
      <c r="B1058" s="10" t="s">
        <v>22</v>
      </c>
      <c r="C1058" s="10" t="s">
        <v>1558</v>
      </c>
      <c r="D1058" s="10" t="s">
        <v>1568</v>
      </c>
      <c r="E1058" s="10" t="s">
        <v>1198</v>
      </c>
      <c r="F1058" s="10">
        <v>34.727373999999998</v>
      </c>
      <c r="G1058" s="10">
        <v>44.58222</v>
      </c>
      <c r="H1058" s="11">
        <v>45</v>
      </c>
      <c r="I1058" s="11">
        <v>270</v>
      </c>
      <c r="J1058" s="11"/>
      <c r="K1058" s="11"/>
      <c r="L1058" s="11"/>
      <c r="M1058" s="11"/>
      <c r="N1058" s="11"/>
      <c r="O1058" s="11"/>
      <c r="P1058" s="11"/>
      <c r="Q1058" s="11">
        <v>10</v>
      </c>
      <c r="R1058" s="11">
        <v>10</v>
      </c>
      <c r="S1058" s="11"/>
      <c r="T1058" s="11"/>
      <c r="U1058" s="11">
        <v>5</v>
      </c>
      <c r="V1058" s="11"/>
      <c r="W1058" s="11"/>
      <c r="X1058" s="11">
        <v>20</v>
      </c>
      <c r="Y1058" s="11"/>
      <c r="Z1058" s="11"/>
      <c r="AA1058" s="11"/>
      <c r="AB1058" s="11"/>
      <c r="AC1058" s="11">
        <v>45</v>
      </c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>
        <v>45</v>
      </c>
      <c r="AN1058" s="11"/>
      <c r="AO1058" s="11"/>
      <c r="AP1058" s="11"/>
      <c r="AQ1058" s="11"/>
      <c r="AR1058" s="11"/>
      <c r="AS1058" s="11"/>
      <c r="AT1058" s="11"/>
      <c r="AU1058" s="20" t="str">
        <f>HYPERLINK("http://www.openstreetmap.org/?mlat=34.7274&amp;mlon=44.5822&amp;zoom=12#map=12/34.7274/44.5822","Maplink1")</f>
        <v>Maplink1</v>
      </c>
      <c r="AV1058" s="20" t="str">
        <f>HYPERLINK("https://www.google.iq/maps/search/+34.7274,44.5822/@34.7274,44.5822,14z?hl=en","Maplink2")</f>
        <v>Maplink2</v>
      </c>
      <c r="AW1058" s="20" t="str">
        <f>HYPERLINK("http://www.bing.com/maps/?lvl=14&amp;sty=h&amp;cp=34.7274~44.5822&amp;sp=point.34.7274_44.5822","Maplink3")</f>
        <v>Maplink3</v>
      </c>
    </row>
    <row r="1059" spans="1:49" s="19" customFormat="1" x14ac:dyDescent="0.25">
      <c r="A1059" s="9">
        <v>27237</v>
      </c>
      <c r="B1059" s="10" t="s">
        <v>22</v>
      </c>
      <c r="C1059" s="10" t="s">
        <v>1558</v>
      </c>
      <c r="D1059" s="10" t="s">
        <v>1569</v>
      </c>
      <c r="E1059" s="10" t="s">
        <v>172</v>
      </c>
      <c r="F1059" s="10">
        <v>34.724364000000001</v>
      </c>
      <c r="G1059" s="10">
        <v>44.587766000000002</v>
      </c>
      <c r="H1059" s="11">
        <v>40</v>
      </c>
      <c r="I1059" s="11">
        <v>240</v>
      </c>
      <c r="J1059" s="11"/>
      <c r="K1059" s="11"/>
      <c r="L1059" s="11"/>
      <c r="M1059" s="11"/>
      <c r="N1059" s="11"/>
      <c r="O1059" s="11"/>
      <c r="P1059" s="11"/>
      <c r="Q1059" s="11">
        <v>10</v>
      </c>
      <c r="R1059" s="11">
        <v>15</v>
      </c>
      <c r="S1059" s="11"/>
      <c r="T1059" s="11"/>
      <c r="U1059" s="11">
        <v>5</v>
      </c>
      <c r="V1059" s="11"/>
      <c r="W1059" s="11"/>
      <c r="X1059" s="11">
        <v>10</v>
      </c>
      <c r="Y1059" s="11"/>
      <c r="Z1059" s="11"/>
      <c r="AA1059" s="11"/>
      <c r="AB1059" s="11"/>
      <c r="AC1059" s="11">
        <v>40</v>
      </c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>
        <v>35</v>
      </c>
      <c r="AN1059" s="11">
        <v>5</v>
      </c>
      <c r="AO1059" s="11"/>
      <c r="AP1059" s="11"/>
      <c r="AQ1059" s="11"/>
      <c r="AR1059" s="11"/>
      <c r="AS1059" s="11"/>
      <c r="AT1059" s="11"/>
      <c r="AU1059" s="20" t="str">
        <f>HYPERLINK("http://www.openstreetmap.org/?mlat=34.7244&amp;mlon=44.5878&amp;zoom=12#map=12/34.7244/44.5878","Maplink1")</f>
        <v>Maplink1</v>
      </c>
      <c r="AV1059" s="20" t="str">
        <f>HYPERLINK("https://www.google.iq/maps/search/+34.7244,44.5878/@34.7244,44.5878,14z?hl=en","Maplink2")</f>
        <v>Maplink2</v>
      </c>
      <c r="AW1059" s="20" t="str">
        <f>HYPERLINK("http://www.bing.com/maps/?lvl=14&amp;sty=h&amp;cp=34.7244~44.5878&amp;sp=point.34.7244_44.5878","Maplink3")</f>
        <v>Maplink3</v>
      </c>
    </row>
    <row r="1060" spans="1:49" s="19" customFormat="1" x14ac:dyDescent="0.25">
      <c r="A1060" s="9">
        <v>27239</v>
      </c>
      <c r="B1060" s="10" t="s">
        <v>22</v>
      </c>
      <c r="C1060" s="10" t="s">
        <v>1558</v>
      </c>
      <c r="D1060" s="10" t="s">
        <v>1570</v>
      </c>
      <c r="E1060" s="10" t="s">
        <v>1571</v>
      </c>
      <c r="F1060" s="10">
        <v>34.725079999999998</v>
      </c>
      <c r="G1060" s="10">
        <v>44.580514999999998</v>
      </c>
      <c r="H1060" s="11">
        <v>43</v>
      </c>
      <c r="I1060" s="11">
        <v>258</v>
      </c>
      <c r="J1060" s="11"/>
      <c r="K1060" s="11"/>
      <c r="L1060" s="11"/>
      <c r="M1060" s="11"/>
      <c r="N1060" s="11"/>
      <c r="O1060" s="11"/>
      <c r="P1060" s="11"/>
      <c r="Q1060" s="11">
        <v>8</v>
      </c>
      <c r="R1060" s="11">
        <v>15</v>
      </c>
      <c r="S1060" s="11"/>
      <c r="T1060" s="11"/>
      <c r="U1060" s="11">
        <v>8</v>
      </c>
      <c r="V1060" s="11"/>
      <c r="W1060" s="11"/>
      <c r="X1060" s="11">
        <v>12</v>
      </c>
      <c r="Y1060" s="11"/>
      <c r="Z1060" s="11"/>
      <c r="AA1060" s="11"/>
      <c r="AB1060" s="11"/>
      <c r="AC1060" s="11">
        <v>43</v>
      </c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>
        <v>43</v>
      </c>
      <c r="AN1060" s="11"/>
      <c r="AO1060" s="11"/>
      <c r="AP1060" s="11"/>
      <c r="AQ1060" s="11"/>
      <c r="AR1060" s="11"/>
      <c r="AS1060" s="11"/>
      <c r="AT1060" s="11"/>
      <c r="AU1060" s="20" t="str">
        <f>HYPERLINK("http://www.openstreetmap.org/?mlat=34.7251&amp;mlon=44.5805&amp;zoom=12#map=12/34.7251/44.5805","Maplink1")</f>
        <v>Maplink1</v>
      </c>
      <c r="AV1060" s="20" t="str">
        <f>HYPERLINK("https://www.google.iq/maps/search/+34.7251,44.5805/@34.7251,44.5805,14z?hl=en","Maplink2")</f>
        <v>Maplink2</v>
      </c>
      <c r="AW1060" s="20" t="str">
        <f>HYPERLINK("http://www.bing.com/maps/?lvl=14&amp;sty=h&amp;cp=34.7251~44.5805&amp;sp=point.34.7251_44.5805","Maplink3")</f>
        <v>Maplink3</v>
      </c>
    </row>
    <row r="1061" spans="1:49" s="19" customFormat="1" x14ac:dyDescent="0.25">
      <c r="A1061" s="9">
        <v>25864</v>
      </c>
      <c r="B1061" s="10" t="s">
        <v>22</v>
      </c>
      <c r="C1061" s="10" t="s">
        <v>1558</v>
      </c>
      <c r="D1061" s="10" t="s">
        <v>1689</v>
      </c>
      <c r="E1061" s="10" t="s">
        <v>1690</v>
      </c>
      <c r="F1061" s="10">
        <v>34.882236040000002</v>
      </c>
      <c r="G1061" s="10">
        <v>44.639734259999997</v>
      </c>
      <c r="H1061" s="11">
        <v>50</v>
      </c>
      <c r="I1061" s="11">
        <v>300</v>
      </c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>
        <v>50</v>
      </c>
      <c r="Y1061" s="11"/>
      <c r="Z1061" s="11"/>
      <c r="AA1061" s="11"/>
      <c r="AB1061" s="11"/>
      <c r="AC1061" s="11">
        <v>50</v>
      </c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>
        <v>50</v>
      </c>
      <c r="AU1061" s="20" t="str">
        <f>HYPERLINK("http://www.openstreetmap.org/?mlat=34.8822&amp;mlon=44.6397&amp;zoom=12#map=12/34.8822/44.6397","Maplink1")</f>
        <v>Maplink1</v>
      </c>
      <c r="AV1061" s="20" t="str">
        <f>HYPERLINK("https://www.google.iq/maps/search/+34.8822,44.6397/@34.8822,44.6397,14z?hl=en","Maplink2")</f>
        <v>Maplink2</v>
      </c>
      <c r="AW1061" s="20" t="str">
        <f>HYPERLINK("http://www.bing.com/maps/?lvl=14&amp;sty=h&amp;cp=34.8822~44.6397&amp;sp=point.34.8822_44.6397","Maplink3")</f>
        <v>Maplink3</v>
      </c>
    </row>
    <row r="1062" spans="1:49" s="19" customFormat="1" x14ac:dyDescent="0.25">
      <c r="A1062" s="9">
        <v>27240</v>
      </c>
      <c r="B1062" s="10" t="s">
        <v>22</v>
      </c>
      <c r="C1062" s="10" t="s">
        <v>1558</v>
      </c>
      <c r="D1062" s="10" t="s">
        <v>1572</v>
      </c>
      <c r="E1062" s="10" t="s">
        <v>1573</v>
      </c>
      <c r="F1062" s="10">
        <v>34.724910000000001</v>
      </c>
      <c r="G1062" s="10">
        <v>44.590226000000001</v>
      </c>
      <c r="H1062" s="11">
        <v>20</v>
      </c>
      <c r="I1062" s="11">
        <v>120</v>
      </c>
      <c r="J1062" s="11"/>
      <c r="K1062" s="11"/>
      <c r="L1062" s="11"/>
      <c r="M1062" s="11"/>
      <c r="N1062" s="11"/>
      <c r="O1062" s="11"/>
      <c r="P1062" s="11"/>
      <c r="Q1062" s="11"/>
      <c r="R1062" s="11">
        <v>5</v>
      </c>
      <c r="S1062" s="11"/>
      <c r="T1062" s="11"/>
      <c r="U1062" s="11">
        <v>5</v>
      </c>
      <c r="V1062" s="11"/>
      <c r="W1062" s="11"/>
      <c r="X1062" s="11">
        <v>10</v>
      </c>
      <c r="Y1062" s="11"/>
      <c r="Z1062" s="11"/>
      <c r="AA1062" s="11"/>
      <c r="AB1062" s="11"/>
      <c r="AC1062" s="11">
        <v>20</v>
      </c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>
        <v>20</v>
      </c>
      <c r="AN1062" s="11"/>
      <c r="AO1062" s="11"/>
      <c r="AP1062" s="11"/>
      <c r="AQ1062" s="11"/>
      <c r="AR1062" s="11"/>
      <c r="AS1062" s="11"/>
      <c r="AT1062" s="11"/>
      <c r="AU1062" s="20" t="str">
        <f>HYPERLINK("http://www.openstreetmap.org/?mlat=34.7249&amp;mlon=44.5902&amp;zoom=12#map=12/34.7249/44.5902","Maplink1")</f>
        <v>Maplink1</v>
      </c>
      <c r="AV1062" s="20" t="str">
        <f>HYPERLINK("https://www.google.iq/maps/search/+34.7249,44.5902/@34.7249,44.5902,14z?hl=en","Maplink2")</f>
        <v>Maplink2</v>
      </c>
      <c r="AW1062" s="20" t="str">
        <f>HYPERLINK("http://www.bing.com/maps/?lvl=14&amp;sty=h&amp;cp=34.7249~44.5902&amp;sp=point.34.7249_44.5902","Maplink3")</f>
        <v>Maplink3</v>
      </c>
    </row>
    <row r="1063" spans="1:49" s="19" customFormat="1" x14ac:dyDescent="0.25">
      <c r="A1063" s="9">
        <v>27241</v>
      </c>
      <c r="B1063" s="10" t="s">
        <v>22</v>
      </c>
      <c r="C1063" s="10" t="s">
        <v>1558</v>
      </c>
      <c r="D1063" s="10" t="s">
        <v>1574</v>
      </c>
      <c r="E1063" s="10" t="s">
        <v>1575</v>
      </c>
      <c r="F1063" s="10">
        <v>34.719239999999999</v>
      </c>
      <c r="G1063" s="10">
        <v>44.581716</v>
      </c>
      <c r="H1063" s="11">
        <v>30</v>
      </c>
      <c r="I1063" s="11">
        <v>180</v>
      </c>
      <c r="J1063" s="11"/>
      <c r="K1063" s="11"/>
      <c r="L1063" s="11"/>
      <c r="M1063" s="11"/>
      <c r="N1063" s="11"/>
      <c r="O1063" s="11"/>
      <c r="P1063" s="11"/>
      <c r="Q1063" s="11">
        <v>4</v>
      </c>
      <c r="R1063" s="11">
        <v>10</v>
      </c>
      <c r="S1063" s="11"/>
      <c r="T1063" s="11"/>
      <c r="U1063" s="11">
        <v>1</v>
      </c>
      <c r="V1063" s="11"/>
      <c r="W1063" s="11"/>
      <c r="X1063" s="11">
        <v>15</v>
      </c>
      <c r="Y1063" s="11"/>
      <c r="Z1063" s="11"/>
      <c r="AA1063" s="11"/>
      <c r="AB1063" s="11"/>
      <c r="AC1063" s="11">
        <v>30</v>
      </c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>
        <v>30</v>
      </c>
      <c r="AN1063" s="11"/>
      <c r="AO1063" s="11"/>
      <c r="AP1063" s="11"/>
      <c r="AQ1063" s="11"/>
      <c r="AR1063" s="11"/>
      <c r="AS1063" s="11"/>
      <c r="AT1063" s="11"/>
      <c r="AU1063" s="20" t="str">
        <f>HYPERLINK("http://www.openstreetmap.org/?mlat=34.7192&amp;mlon=44.5817&amp;zoom=12#map=12/34.7192/44.5817","Maplink1")</f>
        <v>Maplink1</v>
      </c>
      <c r="AV1063" s="20" t="str">
        <f>HYPERLINK("https://www.google.iq/maps/search/+34.7192,44.5817/@34.7192,44.5817,14z?hl=en","Maplink2")</f>
        <v>Maplink2</v>
      </c>
      <c r="AW1063" s="20" t="str">
        <f>HYPERLINK("http://www.bing.com/maps/?lvl=14&amp;sty=h&amp;cp=34.7192~44.5817&amp;sp=point.34.7192_44.5817","Maplink3")</f>
        <v>Maplink3</v>
      </c>
    </row>
    <row r="1064" spans="1:49" s="19" customFormat="1" x14ac:dyDescent="0.25">
      <c r="A1064" s="9">
        <v>25751</v>
      </c>
      <c r="B1064" s="10" t="s">
        <v>22</v>
      </c>
      <c r="C1064" s="10" t="s">
        <v>1558</v>
      </c>
      <c r="D1064" s="10" t="s">
        <v>1691</v>
      </c>
      <c r="E1064" s="10" t="s">
        <v>1692</v>
      </c>
      <c r="F1064" s="10">
        <v>34.883567220000003</v>
      </c>
      <c r="G1064" s="10">
        <v>44.630450580000002</v>
      </c>
      <c r="H1064" s="11">
        <v>90</v>
      </c>
      <c r="I1064" s="11">
        <v>540</v>
      </c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>
        <v>90</v>
      </c>
      <c r="Y1064" s="11"/>
      <c r="Z1064" s="11"/>
      <c r="AA1064" s="11"/>
      <c r="AB1064" s="11"/>
      <c r="AC1064" s="11">
        <v>90</v>
      </c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>
        <v>90</v>
      </c>
      <c r="AU1064" s="20" t="str">
        <f>HYPERLINK("http://www.openstreetmap.org/?mlat=34.8836&amp;mlon=44.6305&amp;zoom=12#map=12/34.8836/44.6305","Maplink1")</f>
        <v>Maplink1</v>
      </c>
      <c r="AV1064" s="20" t="str">
        <f>HYPERLINK("https://www.google.iq/maps/search/+34.8836,44.6305/@34.8836,44.6305,14z?hl=en","Maplink2")</f>
        <v>Maplink2</v>
      </c>
      <c r="AW1064" s="20" t="str">
        <f>HYPERLINK("http://www.bing.com/maps/?lvl=14&amp;sty=h&amp;cp=34.8836~44.6305&amp;sp=point.34.8836_44.6305","Maplink3")</f>
        <v>Maplink3</v>
      </c>
    </row>
    <row r="1065" spans="1:49" s="19" customFormat="1" x14ac:dyDescent="0.25">
      <c r="A1065" s="9">
        <v>25750</v>
      </c>
      <c r="B1065" s="10" t="s">
        <v>22</v>
      </c>
      <c r="C1065" s="10" t="s">
        <v>1558</v>
      </c>
      <c r="D1065" s="10" t="s">
        <v>2067</v>
      </c>
      <c r="E1065" s="10" t="s">
        <v>2068</v>
      </c>
      <c r="F1065" s="10">
        <v>34.904719399999998</v>
      </c>
      <c r="G1065" s="10">
        <v>44.607167939999997</v>
      </c>
      <c r="H1065" s="11">
        <v>75</v>
      </c>
      <c r="I1065" s="11">
        <v>450</v>
      </c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>
        <v>75</v>
      </c>
      <c r="Y1065" s="11"/>
      <c r="Z1065" s="11"/>
      <c r="AA1065" s="11"/>
      <c r="AB1065" s="11"/>
      <c r="AC1065" s="11">
        <v>70</v>
      </c>
      <c r="AD1065" s="11">
        <v>5</v>
      </c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>
        <v>75</v>
      </c>
      <c r="AU1065" s="20" t="str">
        <f>HYPERLINK("http://www.openstreetmap.org/?mlat=34.9047&amp;mlon=44.6072&amp;zoom=12#map=12/34.9047/44.6072","Maplink1")</f>
        <v>Maplink1</v>
      </c>
      <c r="AV1065" s="20" t="str">
        <f>HYPERLINK("https://www.google.iq/maps/search/+34.9047,44.6072/@34.9047,44.6072,14z?hl=en","Maplink2")</f>
        <v>Maplink2</v>
      </c>
      <c r="AW1065" s="20" t="str">
        <f>HYPERLINK("http://www.bing.com/maps/?lvl=14&amp;sty=h&amp;cp=34.9047~44.6072&amp;sp=point.34.9047_44.6072","Maplink3")</f>
        <v>Maplink3</v>
      </c>
    </row>
    <row r="1066" spans="1:49" s="19" customFormat="1" x14ac:dyDescent="0.25">
      <c r="A1066" s="9">
        <v>25755</v>
      </c>
      <c r="B1066" s="10" t="s">
        <v>22</v>
      </c>
      <c r="C1066" s="10" t="s">
        <v>1558</v>
      </c>
      <c r="D1066" s="10" t="s">
        <v>1693</v>
      </c>
      <c r="E1066" s="10" t="s">
        <v>1694</v>
      </c>
      <c r="F1066" s="10">
        <v>34.881868760000003</v>
      </c>
      <c r="G1066" s="10">
        <v>44.62413196</v>
      </c>
      <c r="H1066" s="11">
        <v>150</v>
      </c>
      <c r="I1066" s="11">
        <v>900</v>
      </c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>
        <v>150</v>
      </c>
      <c r="Y1066" s="11"/>
      <c r="Z1066" s="11"/>
      <c r="AA1066" s="11"/>
      <c r="AB1066" s="11"/>
      <c r="AC1066" s="11">
        <v>150</v>
      </c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>
        <v>150</v>
      </c>
      <c r="AU1066" s="20" t="str">
        <f>HYPERLINK("http://www.openstreetmap.org/?mlat=34.8819&amp;mlon=44.6241&amp;zoom=12#map=12/34.8819/44.6241","Maplink1")</f>
        <v>Maplink1</v>
      </c>
      <c r="AV1066" s="20" t="str">
        <f>HYPERLINK("https://www.google.iq/maps/search/+34.8819,44.6241/@34.8819,44.6241,14z?hl=en","Maplink2")</f>
        <v>Maplink2</v>
      </c>
      <c r="AW1066" s="20" t="str">
        <f>HYPERLINK("http://www.bing.com/maps/?lvl=14&amp;sty=h&amp;cp=34.8819~44.6241&amp;sp=point.34.8819_44.6241","Maplink3")</f>
        <v>Maplink3</v>
      </c>
    </row>
    <row r="1067" spans="1:49" s="19" customFormat="1" x14ac:dyDescent="0.25">
      <c r="A1067" s="9">
        <v>27242</v>
      </c>
      <c r="B1067" s="10" t="s">
        <v>22</v>
      </c>
      <c r="C1067" s="10" t="s">
        <v>1558</v>
      </c>
      <c r="D1067" s="10" t="s">
        <v>1576</v>
      </c>
      <c r="E1067" s="10" t="s">
        <v>1577</v>
      </c>
      <c r="F1067" s="10">
        <v>34.785884000000003</v>
      </c>
      <c r="G1067" s="10">
        <v>44.570115999999999</v>
      </c>
      <c r="H1067" s="11">
        <v>181</v>
      </c>
      <c r="I1067" s="11">
        <v>1086</v>
      </c>
      <c r="J1067" s="11"/>
      <c r="K1067" s="11"/>
      <c r="L1067" s="11">
        <v>7</v>
      </c>
      <c r="M1067" s="11"/>
      <c r="N1067" s="11"/>
      <c r="O1067" s="11"/>
      <c r="P1067" s="11"/>
      <c r="Q1067" s="11">
        <v>10</v>
      </c>
      <c r="R1067" s="11">
        <v>20</v>
      </c>
      <c r="S1067" s="11"/>
      <c r="T1067" s="11"/>
      <c r="U1067" s="11">
        <v>15</v>
      </c>
      <c r="V1067" s="11"/>
      <c r="W1067" s="11"/>
      <c r="X1067" s="11">
        <v>129</v>
      </c>
      <c r="Y1067" s="11"/>
      <c r="Z1067" s="11"/>
      <c r="AA1067" s="11"/>
      <c r="AB1067" s="11"/>
      <c r="AC1067" s="11">
        <v>170</v>
      </c>
      <c r="AD1067" s="11">
        <v>11</v>
      </c>
      <c r="AE1067" s="11"/>
      <c r="AF1067" s="11"/>
      <c r="AG1067" s="11"/>
      <c r="AH1067" s="11"/>
      <c r="AI1067" s="11"/>
      <c r="AJ1067" s="11"/>
      <c r="AK1067" s="11"/>
      <c r="AL1067" s="11"/>
      <c r="AM1067" s="11">
        <v>165</v>
      </c>
      <c r="AN1067" s="11">
        <v>16</v>
      </c>
      <c r="AO1067" s="11"/>
      <c r="AP1067" s="11"/>
      <c r="AQ1067" s="11"/>
      <c r="AR1067" s="11"/>
      <c r="AS1067" s="11"/>
      <c r="AT1067" s="11"/>
      <c r="AU1067" s="20" t="str">
        <f>HYPERLINK("http://www.openstreetmap.org/?mlat=34.7859&amp;mlon=44.5701&amp;zoom=12#map=12/34.7859/44.5701","Maplink1")</f>
        <v>Maplink1</v>
      </c>
      <c r="AV1067" s="20" t="str">
        <f>HYPERLINK("https://www.google.iq/maps/search/+34.7859,44.5701/@34.7859,44.5701,14z?hl=en","Maplink2")</f>
        <v>Maplink2</v>
      </c>
      <c r="AW1067" s="20" t="str">
        <f>HYPERLINK("http://www.bing.com/maps/?lvl=14&amp;sty=h&amp;cp=34.7859~44.5701&amp;sp=point.34.7859_44.5701","Maplink3")</f>
        <v>Maplink3</v>
      </c>
    </row>
    <row r="1068" spans="1:49" s="19" customFormat="1" x14ac:dyDescent="0.25">
      <c r="A1068" s="9">
        <v>33223</v>
      </c>
      <c r="B1068" s="10" t="s">
        <v>22</v>
      </c>
      <c r="C1068" s="10" t="s">
        <v>1558</v>
      </c>
      <c r="D1068" s="10" t="s">
        <v>2069</v>
      </c>
      <c r="E1068" s="10" t="s">
        <v>2070</v>
      </c>
      <c r="F1068" s="10">
        <v>34.977339000000001</v>
      </c>
      <c r="G1068" s="10">
        <v>44.484143000000003</v>
      </c>
      <c r="H1068" s="11">
        <v>79</v>
      </c>
      <c r="I1068" s="11">
        <v>474</v>
      </c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>
        <v>79</v>
      </c>
      <c r="Y1068" s="11"/>
      <c r="Z1068" s="11"/>
      <c r="AA1068" s="11"/>
      <c r="AB1068" s="11"/>
      <c r="AC1068" s="11">
        <v>79</v>
      </c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>
        <v>79</v>
      </c>
      <c r="AU1068" s="20" t="str">
        <f>HYPERLINK("http://www.openstreetmap.org/?mlat=34.9773&amp;mlon=44.4841&amp;zoom=12#map=12/34.9773/44.4841","Maplink1")</f>
        <v>Maplink1</v>
      </c>
      <c r="AV1068" s="20" t="str">
        <f>HYPERLINK("https://www.google.iq/maps/search/+34.9773,44.4841/@34.9773,44.4841,14z?hl=en","Maplink2")</f>
        <v>Maplink2</v>
      </c>
      <c r="AW1068" s="20" t="str">
        <f>HYPERLINK("http://www.bing.com/maps/?lvl=14&amp;sty=h&amp;cp=34.9773~44.4841&amp;sp=point.34.9773_44.4841","Maplink3")</f>
        <v>Maplink3</v>
      </c>
    </row>
  </sheetData>
  <autoFilter ref="A4:AW1068"/>
  <mergeCells count="6">
    <mergeCell ref="A1:E1"/>
    <mergeCell ref="J3:AA3"/>
    <mergeCell ref="AB3:AL3"/>
    <mergeCell ref="AU3:AW3"/>
    <mergeCell ref="A3:G3"/>
    <mergeCell ref="AM3:AT3"/>
  </mergeCells>
  <conditionalFormatting sqref="A166">
    <cfRule type="expression" dxfId="1" priority="1">
      <formula>$BB166="Verified with Updated Info"</formula>
    </cfRule>
    <cfRule type="expression" dxfId="0" priority="2">
      <formula>$BB166="New Location"</formula>
    </cfRule>
  </conditionalFormatting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zoomScaleNormal="100" workbookViewId="0">
      <selection sqref="A1:B1"/>
    </sheetView>
  </sheetViews>
  <sheetFormatPr defaultRowHeight="15" x14ac:dyDescent="0.25"/>
  <cols>
    <col min="1" max="1" width="18.285156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8.7109375" style="19" customWidth="1"/>
    <col min="13" max="13" width="10.28515625" customWidth="1"/>
    <col min="14" max="14" width="11.5703125" bestFit="1" customWidth="1"/>
    <col min="15" max="15" width="11.5703125" style="19" customWidth="1"/>
    <col min="16" max="16" width="10.28515625" customWidth="1"/>
    <col min="17" max="17" width="11.42578125" customWidth="1"/>
    <col min="18" max="18" width="11.42578125" style="19" customWidth="1"/>
    <col min="19" max="23" width="10.28515625" customWidth="1"/>
    <col min="24" max="24" width="255" customWidth="1"/>
  </cols>
  <sheetData>
    <row r="1" spans="1:21" ht="25.5" x14ac:dyDescent="0.25">
      <c r="A1" s="61" t="s">
        <v>37</v>
      </c>
      <c r="B1" s="61"/>
      <c r="C1" s="29" t="s">
        <v>38</v>
      </c>
      <c r="D1" s="29" t="s">
        <v>39</v>
      </c>
      <c r="E1" s="29" t="s">
        <v>40</v>
      </c>
      <c r="F1" s="29" t="s">
        <v>41</v>
      </c>
      <c r="M1" s="19"/>
    </row>
    <row r="2" spans="1:21" s="15" customFormat="1" x14ac:dyDescent="0.25">
      <c r="A2" s="74" t="s">
        <v>76</v>
      </c>
      <c r="B2" s="75"/>
      <c r="C2" s="28">
        <f>COUNT('RETURNEE DATASET'!AM:AM)</f>
        <v>153</v>
      </c>
      <c r="D2" s="28">
        <f>SUM('RETURNEE DATASET'!AM:AM)</f>
        <v>65156</v>
      </c>
      <c r="E2" s="28">
        <f t="shared" ref="E2:E7" si="0">D2*6</f>
        <v>390936</v>
      </c>
      <c r="F2" s="30">
        <f t="shared" ref="F2:F9" si="1">E2/$E$10</f>
        <v>0.13743005211947615</v>
      </c>
      <c r="L2" s="19"/>
      <c r="O2" s="19"/>
      <c r="R2" s="19"/>
    </row>
    <row r="3" spans="1:21" x14ac:dyDescent="0.25">
      <c r="A3" s="69" t="s">
        <v>42</v>
      </c>
      <c r="B3" s="70"/>
      <c r="C3" s="2">
        <f>COUNT('RETURNEE DATASET'!AN:AN)</f>
        <v>406</v>
      </c>
      <c r="D3" s="2">
        <f>SUM('RETURNEE DATASET'!AN:AN)</f>
        <v>76673</v>
      </c>
      <c r="E3" s="2">
        <f t="shared" si="0"/>
        <v>460038</v>
      </c>
      <c r="F3" s="3">
        <f t="shared" si="1"/>
        <v>0.1617222417913407</v>
      </c>
      <c r="H3" s="8"/>
      <c r="I3" s="12"/>
      <c r="J3" s="13"/>
      <c r="K3" s="8"/>
      <c r="P3" s="8"/>
      <c r="Q3" s="8"/>
      <c r="S3" s="8"/>
      <c r="T3" s="8"/>
      <c r="U3" s="8"/>
    </row>
    <row r="4" spans="1:21" x14ac:dyDescent="0.25">
      <c r="A4" s="69" t="s">
        <v>43</v>
      </c>
      <c r="B4" s="70"/>
      <c r="C4" s="2">
        <f>COUNT('RETURNEE DATASET'!AO:AO)</f>
        <v>411</v>
      </c>
      <c r="D4" s="2">
        <f>SUM('RETURNEE DATASET'!AO:AO)</f>
        <v>90217</v>
      </c>
      <c r="E4" s="2">
        <f t="shared" si="0"/>
        <v>541302</v>
      </c>
      <c r="F4" s="3">
        <f t="shared" si="1"/>
        <v>0.19028987371942385</v>
      </c>
      <c r="H4" s="8"/>
      <c r="I4" s="12"/>
      <c r="J4" s="13"/>
      <c r="K4" s="8"/>
      <c r="P4" s="8"/>
      <c r="Q4" s="8"/>
      <c r="S4" s="8"/>
      <c r="T4" s="8"/>
      <c r="U4" s="8"/>
    </row>
    <row r="5" spans="1:21" x14ac:dyDescent="0.25">
      <c r="A5" s="69" t="s">
        <v>44</v>
      </c>
      <c r="B5" s="70"/>
      <c r="C5" s="2">
        <f>COUNT('RETURNEE DATASET'!AP:AP)</f>
        <v>396</v>
      </c>
      <c r="D5" s="2">
        <f>SUM('RETURNEE DATASET'!AP:AP)</f>
        <v>78027</v>
      </c>
      <c r="E5" s="2">
        <f t="shared" si="0"/>
        <v>468162</v>
      </c>
      <c r="F5" s="3">
        <f t="shared" si="1"/>
        <v>0.1645781612856278</v>
      </c>
      <c r="H5" s="8"/>
      <c r="I5" s="12"/>
      <c r="J5" s="13"/>
      <c r="K5" s="8"/>
    </row>
    <row r="6" spans="1:21" x14ac:dyDescent="0.25">
      <c r="A6" s="69" t="s">
        <v>45</v>
      </c>
      <c r="B6" s="70"/>
      <c r="C6" s="2">
        <f>COUNT('RETURNEE DATASET'!AQ:AQ)</f>
        <v>213</v>
      </c>
      <c r="D6" s="2">
        <f>SUM('RETURNEE DATASET'!AQ:AQ)</f>
        <v>59912</v>
      </c>
      <c r="E6" s="2">
        <f t="shared" si="0"/>
        <v>359472</v>
      </c>
      <c r="F6" s="3">
        <f t="shared" si="1"/>
        <v>0.12636916450644692</v>
      </c>
      <c r="H6" s="8"/>
      <c r="I6" s="12"/>
      <c r="J6" s="13"/>
      <c r="K6" s="8"/>
    </row>
    <row r="7" spans="1:21" s="19" customFormat="1" x14ac:dyDescent="0.25">
      <c r="A7" s="76" t="s">
        <v>72</v>
      </c>
      <c r="B7" s="77"/>
      <c r="C7" s="2">
        <f>COUNT('RETURNEE DATASET'!AR:AUS)</f>
        <v>472</v>
      </c>
      <c r="D7" s="2">
        <f>SUM('RETURNEE DATASET'!AR:AR)</f>
        <v>35756</v>
      </c>
      <c r="E7" s="2">
        <f t="shared" si="0"/>
        <v>214536</v>
      </c>
      <c r="F7" s="3">
        <f t="shared" si="1"/>
        <v>7.5418210810730996E-2</v>
      </c>
      <c r="J7" s="13"/>
    </row>
    <row r="8" spans="1:21" s="19" customFormat="1" ht="17.25" customHeight="1" x14ac:dyDescent="0.25">
      <c r="A8" s="44" t="s">
        <v>77</v>
      </c>
      <c r="B8" s="45"/>
      <c r="C8" s="2">
        <f>COUNT('RETURNEE DATASET'!AS:AS)</f>
        <v>181</v>
      </c>
      <c r="D8" s="2">
        <f>SUM('RETURNEE DATASET'!AS:AS)</f>
        <v>31057</v>
      </c>
      <c r="E8" s="2">
        <f>D8*6</f>
        <v>186342</v>
      </c>
      <c r="F8" s="3">
        <f t="shared" si="1"/>
        <v>6.5506862432846868E-2</v>
      </c>
      <c r="J8" s="13"/>
    </row>
    <row r="9" spans="1:21" s="19" customFormat="1" ht="17.25" customHeight="1" x14ac:dyDescent="0.25">
      <c r="A9" s="53" t="s">
        <v>78</v>
      </c>
      <c r="B9" s="52"/>
      <c r="C9" s="2">
        <f>COUNT('RETURNEE DATASET'!AT:AT)</f>
        <v>125</v>
      </c>
      <c r="D9" s="2">
        <f>SUM('RETURNEE DATASET'!AT:AT)</f>
        <v>37305</v>
      </c>
      <c r="E9" s="2">
        <f>D9*6</f>
        <v>223830</v>
      </c>
      <c r="F9" s="3">
        <f t="shared" si="1"/>
        <v>7.8685433334106727E-2</v>
      </c>
      <c r="J9" s="13"/>
    </row>
    <row r="10" spans="1:21" x14ac:dyDescent="0.25">
      <c r="A10" s="69" t="s">
        <v>0</v>
      </c>
      <c r="B10" s="70"/>
      <c r="C10" s="2"/>
      <c r="D10" s="14">
        <f>SUM(D2:D9)</f>
        <v>474103</v>
      </c>
      <c r="E10" s="14">
        <f>SUM(E2:E9)</f>
        <v>2844618</v>
      </c>
      <c r="F10" s="17">
        <f>SUM(F2:F9)</f>
        <v>1</v>
      </c>
      <c r="H10" s="8"/>
      <c r="I10" s="8"/>
      <c r="J10" s="8"/>
      <c r="K10" s="8"/>
    </row>
    <row r="11" spans="1:21" ht="18" customHeight="1" x14ac:dyDescent="0.25"/>
    <row r="12" spans="1:21" ht="15" customHeight="1" x14ac:dyDescent="0.25">
      <c r="A12" s="24" t="s">
        <v>0</v>
      </c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21" ht="25.5" x14ac:dyDescent="0.25">
      <c r="A13" s="25" t="s">
        <v>46</v>
      </c>
      <c r="B13" s="23" t="s">
        <v>26</v>
      </c>
      <c r="C13" s="23" t="s">
        <v>34</v>
      </c>
      <c r="D13" s="23" t="s">
        <v>28</v>
      </c>
      <c r="E13" s="23" t="s">
        <v>33</v>
      </c>
      <c r="F13" s="23" t="s">
        <v>32</v>
      </c>
      <c r="G13" s="23" t="s">
        <v>35</v>
      </c>
      <c r="H13" s="23" t="s">
        <v>30</v>
      </c>
      <c r="I13" s="23" t="s">
        <v>27</v>
      </c>
      <c r="J13" s="23" t="s">
        <v>29</v>
      </c>
      <c r="K13" s="23" t="s">
        <v>31</v>
      </c>
      <c r="L13" s="23"/>
      <c r="M13" s="23" t="s">
        <v>36</v>
      </c>
      <c r="N13" s="23" t="s">
        <v>47</v>
      </c>
    </row>
    <row r="14" spans="1:21" x14ac:dyDescent="0.25">
      <c r="A14" s="1" t="s">
        <v>8</v>
      </c>
      <c r="B14" s="2">
        <f>SUMIF('RETURNEE DATASET'!B:B,A14,'RETURNEE DATASET'!AB:AB)</f>
        <v>0</v>
      </c>
      <c r="C14" s="2">
        <f>SUMIF('RETURNEE DATASET'!B:B,A14,'RETURNEE DATASET'!AC:AC)</f>
        <v>194465</v>
      </c>
      <c r="D14" s="2">
        <f>SUMIF('RETURNEE DATASET'!B:B,A14,'RETURNEE DATASET'!AD:AD)</f>
        <v>0</v>
      </c>
      <c r="E14" s="2">
        <f>SUMIF('RETURNEE DATASET'!B:B,A14,'RETURNEE DATASET'!AE:AE)</f>
        <v>0</v>
      </c>
      <c r="F14" s="2">
        <f>SUMIF('RETURNEE DATASET'!B:B,A14,'RETURNEE DATASET'!AF:AF)</f>
        <v>0</v>
      </c>
      <c r="G14" s="2">
        <f>SUMIF('RETURNEE DATASET'!B:B,A14,'RETURNEE DATASET'!AG:AG)</f>
        <v>0</v>
      </c>
      <c r="H14" s="2">
        <f>SUMIF('RETURNEE DATASET'!B:B,A14,'RETURNEE DATASET'!AH:AH)</f>
        <v>0</v>
      </c>
      <c r="I14" s="2">
        <f>SUMIF('RETURNEE DATASET'!B:B,A14,'RETURNEE DATASET'!AI:AI)</f>
        <v>7013</v>
      </c>
      <c r="J14" s="2">
        <f>SUMIF('RETURNEE DATASET'!B:B,A14,'RETURNEE DATASET'!AJ:AJ)</f>
        <v>0</v>
      </c>
      <c r="K14" s="2">
        <f>SUMIF('RETURNEE DATASET'!B:B,A14,'RETURNEE DATASET'!AK:AK)</f>
        <v>0</v>
      </c>
      <c r="L14" s="2"/>
      <c r="M14" s="2">
        <f>SUMIF('RETURNEE DATASET'!B:B,A14,'RETURNEE DATASET'!AL:AL)</f>
        <v>0</v>
      </c>
      <c r="N14" s="2">
        <f>SUM(B14:M14)</f>
        <v>201478</v>
      </c>
      <c r="O14" s="49"/>
    </row>
    <row r="15" spans="1:21" s="19" customFormat="1" x14ac:dyDescent="0.25">
      <c r="A15" s="40" t="s">
        <v>10</v>
      </c>
      <c r="B15" s="2">
        <f>SUMIF('RETURNEE DATASET'!B:B,A15,'RETURNEE DATASET'!AB:AB)</f>
        <v>0</v>
      </c>
      <c r="C15" s="2">
        <f>SUMIF('RETURNEE DATASET'!B:B,A15,'RETURNEE DATASET'!AC:AC)</f>
        <v>11972</v>
      </c>
      <c r="D15" s="2">
        <f>SUMIF('RETURNEE DATASET'!B:B,A15,'RETURNEE DATASET'!AD:AD)</f>
        <v>191</v>
      </c>
      <c r="E15" s="2">
        <f>SUMIF('RETURNEE DATASET'!B:B,A15,'RETURNEE DATASET'!AE:AE)</f>
        <v>0</v>
      </c>
      <c r="F15" s="2">
        <f>SUMIF('RETURNEE DATASET'!B:B,A15,'RETURNEE DATASET'!AF:AF)</f>
        <v>0</v>
      </c>
      <c r="G15" s="2">
        <f>SUMIF('RETURNEE DATASET'!B:B,A15,'RETURNEE DATASET'!AG:AG)</f>
        <v>0</v>
      </c>
      <c r="H15" s="2">
        <f>SUMIF('RETURNEE DATASET'!B:B,A15,'RETURNEE DATASET'!AH:AH)</f>
        <v>0</v>
      </c>
      <c r="I15" s="2">
        <f>SUMIF('RETURNEE DATASET'!B:B,A15,'RETURNEE DATASET'!AI:AI)</f>
        <v>0</v>
      </c>
      <c r="J15" s="2">
        <f>SUMIF('RETURNEE DATASET'!B:B,A15,'RETURNEE DATASET'!AJ:AJ)</f>
        <v>0</v>
      </c>
      <c r="K15" s="2">
        <f>SUMIF('RETURNEE DATASET'!B:B,A15,'RETURNEE DATASET'!AK:AK)</f>
        <v>0</v>
      </c>
      <c r="L15" s="2"/>
      <c r="M15" s="2">
        <f>SUMIF('RETURNEE DATASET'!B:B,A15,'RETURNEE DATASET'!AL:AL)</f>
        <v>0</v>
      </c>
      <c r="N15" s="2">
        <f>SUM(B15:M15)</f>
        <v>12163</v>
      </c>
      <c r="O15" s="49"/>
    </row>
    <row r="16" spans="1:21" s="19" customFormat="1" x14ac:dyDescent="0.25">
      <c r="A16" s="56" t="s">
        <v>12</v>
      </c>
      <c r="B16" s="2">
        <f>SUMIF('RETURNEE DATASET'!B:B,A16,'RETURNEE DATASET'!AB:AB)</f>
        <v>0</v>
      </c>
      <c r="C16" s="2">
        <f>SUMIF('RETURNEE DATASET'!B:B,A16,'RETURNEE DATASET'!AC:AC)</f>
        <v>130</v>
      </c>
      <c r="D16" s="2">
        <f>SUMIF('RETURNEE DATASET'!B:B,A16,'RETURNEE DATASET'!AD:AD)</f>
        <v>0</v>
      </c>
      <c r="E16" s="2">
        <f>SUMIF('RETURNEE DATASET'!B:B,A16,'RETURNEE DATASET'!AE:AE)</f>
        <v>0</v>
      </c>
      <c r="F16" s="2">
        <f>SUMIF('RETURNEE DATASET'!B:B,A16,'RETURNEE DATASET'!AF:AF)</f>
        <v>0</v>
      </c>
      <c r="G16" s="2">
        <f>SUMIF('RETURNEE DATASET'!B:B,A16,'RETURNEE DATASET'!AG:AG)</f>
        <v>0</v>
      </c>
      <c r="H16" s="2">
        <f>SUMIF('RETURNEE DATASET'!B:B,A16,'RETURNEE DATASET'!AH:AH)</f>
        <v>0</v>
      </c>
      <c r="I16" s="2">
        <f>SUMIF('RETURNEE DATASET'!B:B,A16,'RETURNEE DATASET'!AI:AI)</f>
        <v>0</v>
      </c>
      <c r="J16" s="2">
        <f>SUMIF('RETURNEE DATASET'!B:B,A16,'RETURNEE DATASET'!AJ:AJ)</f>
        <v>0</v>
      </c>
      <c r="K16" s="2">
        <f>SUMIF('RETURNEE DATASET'!B:B,A16,'RETURNEE DATASET'!AK:AK)</f>
        <v>0</v>
      </c>
      <c r="L16" s="2"/>
      <c r="M16" s="2">
        <f>SUMIF('RETURNEE DATASET'!B:B,A16,'RETURNEE DATASET'!AL:AL)</f>
        <v>0</v>
      </c>
      <c r="N16" s="2">
        <f>SUM(B16:M16)</f>
        <v>130</v>
      </c>
      <c r="O16" s="49"/>
    </row>
    <row r="17" spans="1:26" x14ac:dyDescent="0.25">
      <c r="A17" s="1" t="s">
        <v>13</v>
      </c>
      <c r="B17" s="2">
        <f>SUMIF('RETURNEE DATASET'!B:B,A17,'RETURNEE DATASET'!AB:AB)</f>
        <v>0</v>
      </c>
      <c r="C17" s="2">
        <f>SUMIF('RETURNEE DATASET'!B:B,A17,'RETURNEE DATASET'!AC:AC)</f>
        <v>30991</v>
      </c>
      <c r="D17" s="2">
        <f>SUMIF('RETURNEE DATASET'!B:B,A17,'RETURNEE DATASET'!AD:AD)</f>
        <v>1081</v>
      </c>
      <c r="E17" s="2">
        <f>SUMIF('RETURNEE DATASET'!B:B,A17,'RETURNEE DATASET'!AE:AE)</f>
        <v>0</v>
      </c>
      <c r="F17" s="2">
        <f>SUMIF('RETURNEE DATASET'!B:B,A17,'RETURNEE DATASET'!AF:AF)</f>
        <v>0</v>
      </c>
      <c r="G17" s="2">
        <f>SUMIF('RETURNEE DATASET'!B:B,A17,'RETURNEE DATASET'!AG:AG)</f>
        <v>106</v>
      </c>
      <c r="H17" s="2">
        <f>SUMIF('RETURNEE DATASET'!B:B,A17,'RETURNEE DATASET'!AH:AH)</f>
        <v>0</v>
      </c>
      <c r="I17" s="2">
        <f>SUMIF('RETURNEE DATASET'!B:B,A17,'RETURNEE DATASET'!AI:AI)</f>
        <v>152</v>
      </c>
      <c r="J17" s="2">
        <f>SUMIF('RETURNEE DATASET'!B:B,A17,'RETURNEE DATASET'!AJ:AJ)</f>
        <v>0</v>
      </c>
      <c r="K17" s="2">
        <f>SUMIF('RETURNEE DATASET'!B:B,A17,'RETURNEE DATASET'!AK:AK)</f>
        <v>3906</v>
      </c>
      <c r="L17" s="2"/>
      <c r="M17" s="2">
        <f>SUMIF('RETURNEE DATASET'!B:B,A17,'RETURNEE DATASET'!AL:AL)</f>
        <v>0</v>
      </c>
      <c r="N17" s="2">
        <f t="shared" ref="N17:N21" si="2">SUM(B17:M17)</f>
        <v>36236</v>
      </c>
      <c r="O17" s="49"/>
    </row>
    <row r="18" spans="1:26" x14ac:dyDescent="0.25">
      <c r="A18" s="1" t="s">
        <v>14</v>
      </c>
      <c r="B18" s="2">
        <f>SUMIF('RETURNEE DATASET'!B:B,A18,'RETURNEE DATASET'!AB:AB)</f>
        <v>0</v>
      </c>
      <c r="C18" s="2">
        <f>SUMIF('RETURNEE DATASET'!B:B,A18,'RETURNEE DATASET'!AC:AC)</f>
        <v>5835</v>
      </c>
      <c r="D18" s="2">
        <f>SUMIF('RETURNEE DATASET'!B:B,A18,'RETURNEE DATASET'!AD:AD)</f>
        <v>0</v>
      </c>
      <c r="E18" s="2">
        <f>SUMIF('RETURNEE DATASET'!B:B,A18,'RETURNEE DATASET'!AE:AE)</f>
        <v>0</v>
      </c>
      <c r="F18" s="2">
        <f>SUMIF('RETURNEE DATASET'!B:B,A18,'RETURNEE DATASET'!AF:AF)</f>
        <v>0</v>
      </c>
      <c r="G18" s="2">
        <f>SUMIF('RETURNEE DATASET'!B:B,A18,'RETURNEE DATASET'!AG:AG)</f>
        <v>0</v>
      </c>
      <c r="H18" s="2">
        <f>SUMIF('RETURNEE DATASET'!B:B,A18,'RETURNEE DATASET'!AH:AH)</f>
        <v>0</v>
      </c>
      <c r="I18" s="2">
        <f>SUMIF('RETURNEE DATASET'!B:B,A18,'RETURNEE DATASET'!AI:AI)</f>
        <v>0</v>
      </c>
      <c r="J18" s="2">
        <f>SUMIF('RETURNEE DATASET'!B:B,A18,'RETURNEE DATASET'!AJ:AJ)</f>
        <v>0</v>
      </c>
      <c r="K18" s="2">
        <f>SUMIF('RETURNEE DATASET'!B:B,A18,'RETURNEE DATASET'!AK:AK)</f>
        <v>0</v>
      </c>
      <c r="L18" s="2"/>
      <c r="M18" s="2">
        <f>SUMIF('RETURNEE DATASET'!B:B,A18,'RETURNEE DATASET'!AL:AL)</f>
        <v>0</v>
      </c>
      <c r="N18" s="2">
        <f t="shared" si="2"/>
        <v>5835</v>
      </c>
      <c r="O18" s="49"/>
    </row>
    <row r="19" spans="1:26" x14ac:dyDescent="0.25">
      <c r="A19" s="1" t="s">
        <v>16</v>
      </c>
      <c r="B19" s="2">
        <f>SUMIF('RETURNEE DATASET'!B:B,A19,'RETURNEE DATASET'!AB:AB)</f>
        <v>0</v>
      </c>
      <c r="C19" s="2">
        <f>SUMIF('RETURNEE DATASET'!B:B,A19,'RETURNEE DATASET'!AC:AC)</f>
        <v>37846</v>
      </c>
      <c r="D19" s="2">
        <f>SUMIF('RETURNEE DATASET'!B:B,A19,'RETURNEE DATASET'!AD:AD)</f>
        <v>78</v>
      </c>
      <c r="E19" s="2">
        <f>SUMIF('RETURNEE DATASET'!B:B,A19,'RETURNEE DATASET'!AE:AE)</f>
        <v>0</v>
      </c>
      <c r="F19" s="2">
        <f>SUMIF('RETURNEE DATASET'!B:B,A19,'RETURNEE DATASET'!AF:AF)</f>
        <v>138</v>
      </c>
      <c r="G19" s="2">
        <f>SUMIF('RETURNEE DATASET'!B:B,A19,'RETURNEE DATASET'!AG:AG)</f>
        <v>0</v>
      </c>
      <c r="H19" s="2">
        <f>SUMIF('RETURNEE DATASET'!B:B,A19,'RETURNEE DATASET'!AH:AH)</f>
        <v>0</v>
      </c>
      <c r="I19" s="2">
        <f>SUMIF('RETURNEE DATASET'!B:B,A19,'RETURNEE DATASET'!AI:AI)</f>
        <v>0</v>
      </c>
      <c r="J19" s="2">
        <f>SUMIF('RETURNEE DATASET'!B:B,A19,'RETURNEE DATASET'!AJ:AJ)</f>
        <v>0</v>
      </c>
      <c r="K19" s="2">
        <f>SUMIF('RETURNEE DATASET'!B:B,A19,'RETURNEE DATASET'!AK:AK)</f>
        <v>0</v>
      </c>
      <c r="L19" s="2"/>
      <c r="M19" s="2">
        <f>SUMIF('RETURNEE DATASET'!B:B,A19,'RETURNEE DATASET'!AL:AL)</f>
        <v>250</v>
      </c>
      <c r="N19" s="2">
        <f t="shared" si="2"/>
        <v>38312</v>
      </c>
      <c r="O19" s="49"/>
    </row>
    <row r="20" spans="1:26" x14ac:dyDescent="0.25">
      <c r="A20" s="1" t="s">
        <v>20</v>
      </c>
      <c r="B20" s="2">
        <f>SUMIF('RETURNEE DATASET'!B:B,A20,'RETURNEE DATASET'!AB:AB)</f>
        <v>0</v>
      </c>
      <c r="C20" s="2">
        <f>SUMIF('RETURNEE DATASET'!B:B,A20,'RETURNEE DATASET'!AC:AC)</f>
        <v>102716</v>
      </c>
      <c r="D20" s="2">
        <f>SUMIF('RETURNEE DATASET'!B:B,A20,'RETURNEE DATASET'!AD:AD)</f>
        <v>363</v>
      </c>
      <c r="E20" s="2">
        <f>SUMIF('RETURNEE DATASET'!B:B,A20,'RETURNEE DATASET'!AE:AE)</f>
        <v>0</v>
      </c>
      <c r="F20" s="2">
        <f>SUMIF('RETURNEE DATASET'!B:B,A20,'RETURNEE DATASET'!AF:AF)</f>
        <v>77</v>
      </c>
      <c r="G20" s="2">
        <f>SUMIF('RETURNEE DATASET'!B:B,A20,'RETURNEE DATASET'!AG:AG)</f>
        <v>0</v>
      </c>
      <c r="H20" s="2">
        <f>SUMIF('RETURNEE DATASET'!B:B,A20,'RETURNEE DATASET'!AH:AH)</f>
        <v>0</v>
      </c>
      <c r="I20" s="2">
        <f>SUMIF('RETURNEE DATASET'!B:B,A20,'RETURNEE DATASET'!AI:AI)</f>
        <v>6</v>
      </c>
      <c r="J20" s="2">
        <f>SUMIF('RETURNEE DATASET'!B:B,A20,'RETURNEE DATASET'!AJ:AJ)</f>
        <v>0</v>
      </c>
      <c r="K20" s="2">
        <f>SUMIF('RETURNEE DATASET'!B:B,A20,'RETURNEE DATASET'!AK:AK)</f>
        <v>854</v>
      </c>
      <c r="L20" s="2"/>
      <c r="M20" s="2">
        <f>SUMIF('RETURNEE DATASET'!B:B,A20,'RETURNEE DATASET'!AL:AL)</f>
        <v>0</v>
      </c>
      <c r="N20" s="2">
        <f t="shared" si="2"/>
        <v>104016</v>
      </c>
      <c r="O20" s="49"/>
    </row>
    <row r="21" spans="1:26" s="15" customFormat="1" x14ac:dyDescent="0.25">
      <c r="A21" s="18" t="s">
        <v>22</v>
      </c>
      <c r="B21" s="2">
        <f>SUMIF('RETURNEE DATASET'!B:B,A21,'RETURNEE DATASET'!AB:AB)</f>
        <v>0</v>
      </c>
      <c r="C21" s="2">
        <f>SUMIF('RETURNEE DATASET'!B:B,A21,'RETURNEE DATASET'!AC:AC)</f>
        <v>67157</v>
      </c>
      <c r="D21" s="2">
        <f>SUMIF('RETURNEE DATASET'!B:B,A21,'RETURNEE DATASET'!AD:AD)</f>
        <v>1730</v>
      </c>
      <c r="E21" s="2">
        <f>SUMIF('RETURNEE DATASET'!B:B,A21,'RETURNEE DATASET'!AE:AE)</f>
        <v>0</v>
      </c>
      <c r="F21" s="2">
        <f>SUMIF('RETURNEE DATASET'!B:B,A21,'RETURNEE DATASET'!AF:AF)</f>
        <v>1337</v>
      </c>
      <c r="G21" s="2">
        <f>SUMIF('RETURNEE DATASET'!B:B,A21,'RETURNEE DATASET'!AG:AG)</f>
        <v>513</v>
      </c>
      <c r="H21" s="2">
        <f>SUMIF('RETURNEE DATASET'!B:B,A21,'RETURNEE DATASET'!AH:AH)</f>
        <v>7</v>
      </c>
      <c r="I21" s="2">
        <f>SUMIF('RETURNEE DATASET'!B:B,A21,'RETURNEE DATASET'!AI:AI)</f>
        <v>4753</v>
      </c>
      <c r="J21" s="2">
        <f>SUMIF('RETURNEE DATASET'!B:B,A21,'RETURNEE DATASET'!AJ:AJ)</f>
        <v>0</v>
      </c>
      <c r="K21" s="2">
        <f>SUMIF('RETURNEE DATASET'!B:B,A21,'RETURNEE DATASET'!AK:AK)</f>
        <v>380</v>
      </c>
      <c r="L21" s="2"/>
      <c r="M21" s="2">
        <f>SUMIF('RETURNEE DATASET'!B:B,A21,'RETURNEE DATASET'!AL:AL)</f>
        <v>56</v>
      </c>
      <c r="N21" s="2">
        <f t="shared" si="2"/>
        <v>75933</v>
      </c>
      <c r="O21" s="49"/>
      <c r="R21" s="19"/>
    </row>
    <row r="22" spans="1:26" x14ac:dyDescent="0.25">
      <c r="A22" s="4" t="s">
        <v>48</v>
      </c>
      <c r="B22" s="5">
        <f>SUM(B14:B21)</f>
        <v>0</v>
      </c>
      <c r="C22" s="5">
        <f>SUM(C14:C21)</f>
        <v>451112</v>
      </c>
      <c r="D22" s="5">
        <f t="shared" ref="D22:N22" si="3">SUM(D14:D21)</f>
        <v>3443</v>
      </c>
      <c r="E22" s="5">
        <f t="shared" si="3"/>
        <v>0</v>
      </c>
      <c r="F22" s="5">
        <f t="shared" si="3"/>
        <v>1552</v>
      </c>
      <c r="G22" s="5">
        <f t="shared" si="3"/>
        <v>619</v>
      </c>
      <c r="H22" s="5">
        <f t="shared" si="3"/>
        <v>7</v>
      </c>
      <c r="I22" s="5">
        <f t="shared" si="3"/>
        <v>11924</v>
      </c>
      <c r="J22" s="5">
        <f t="shared" si="3"/>
        <v>0</v>
      </c>
      <c r="K22" s="5">
        <f t="shared" si="3"/>
        <v>5140</v>
      </c>
      <c r="L22" s="5"/>
      <c r="M22" s="5">
        <f t="shared" si="3"/>
        <v>306</v>
      </c>
      <c r="N22" s="5">
        <f t="shared" si="3"/>
        <v>474103</v>
      </c>
      <c r="O22" s="50"/>
    </row>
    <row r="23" spans="1:26" ht="18" customHeight="1" x14ac:dyDescent="0.25">
      <c r="Q23" s="19"/>
      <c r="S23" s="19"/>
      <c r="T23" s="19"/>
      <c r="U23" s="19"/>
      <c r="V23" s="19"/>
      <c r="W23" s="19"/>
    </row>
    <row r="24" spans="1:26" ht="15" customHeight="1" x14ac:dyDescent="0.25">
      <c r="A24" s="26" t="s">
        <v>0</v>
      </c>
      <c r="B24" s="66" t="s">
        <v>49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19"/>
      <c r="U24" s="19"/>
      <c r="V24" s="19"/>
      <c r="W24" s="19"/>
    </row>
    <row r="25" spans="1:26" ht="25.5" x14ac:dyDescent="0.25">
      <c r="A25" s="27" t="s">
        <v>46</v>
      </c>
      <c r="B25" s="29" t="s">
        <v>8</v>
      </c>
      <c r="C25" s="29" t="s">
        <v>9</v>
      </c>
      <c r="D25" s="29" t="s">
        <v>10</v>
      </c>
      <c r="E25" s="46" t="s">
        <v>11</v>
      </c>
      <c r="F25" s="29" t="s">
        <v>12</v>
      </c>
      <c r="G25" s="29" t="s">
        <v>13</v>
      </c>
      <c r="H25" s="29" t="s">
        <v>14</v>
      </c>
      <c r="I25" s="29" t="s">
        <v>15</v>
      </c>
      <c r="J25" s="29" t="s">
        <v>16</v>
      </c>
      <c r="K25" s="46" t="s">
        <v>17</v>
      </c>
      <c r="L25" s="51" t="s">
        <v>18</v>
      </c>
      <c r="M25" s="29" t="s">
        <v>19</v>
      </c>
      <c r="N25" s="29" t="s">
        <v>20</v>
      </c>
      <c r="O25" s="48" t="s">
        <v>21</v>
      </c>
      <c r="P25" s="29" t="s">
        <v>22</v>
      </c>
      <c r="Q25" s="29" t="s">
        <v>23</v>
      </c>
      <c r="R25" s="48" t="s">
        <v>24</v>
      </c>
      <c r="S25" s="46" t="s">
        <v>25</v>
      </c>
      <c r="T25" s="29" t="s">
        <v>47</v>
      </c>
      <c r="U25" s="19"/>
      <c r="V25" s="19"/>
      <c r="W25" s="19"/>
      <c r="X25" s="19"/>
      <c r="Y25" s="19"/>
      <c r="Z25" s="19"/>
    </row>
    <row r="26" spans="1:26" x14ac:dyDescent="0.25">
      <c r="A26" s="1" t="s">
        <v>8</v>
      </c>
      <c r="B26" s="28">
        <f>SUMIF('RETURNEE DATASET'!B:B,A26,'RETURNEE DATASET'!J:J)</f>
        <v>94901</v>
      </c>
      <c r="C26" s="28">
        <f>SUMIF('RETURNEE DATASET'!B:B,A26,'RETURNEE DATASET'!K:K)</f>
        <v>1460</v>
      </c>
      <c r="D26" s="28">
        <f>SUMIF('RETURNEE DATASET'!B:B,A26,'RETURNEE DATASET'!L:L)</f>
        <v>44403</v>
      </c>
      <c r="E26" s="28">
        <f>SUMIF('RETURNEE DATASET'!B:B,A26,'RETURNEE DATASET'!M:M)</f>
        <v>0</v>
      </c>
      <c r="F26" s="28">
        <f>SUMIF('RETURNEE DATASET'!B:B,A26,'RETURNEE DATASET'!N:N)</f>
        <v>149</v>
      </c>
      <c r="G26" s="28">
        <f>SUMIF('RETURNEE DATASET'!B:B,A26,'RETURNEE DATASET'!O:O)</f>
        <v>0</v>
      </c>
      <c r="H26" s="28">
        <f>SUMIF('RETURNEE DATASET'!B:B,A26,'RETURNEE DATASET'!P:P)</f>
        <v>26739</v>
      </c>
      <c r="I26" s="28">
        <f>SUMIF('RETURNEE DATASET'!B:B,A26,'RETURNEE DATASET'!Q:Q)</f>
        <v>0</v>
      </c>
      <c r="J26" s="28">
        <f>SUMIF('RETURNEE DATASET'!B:B,A26,'RETURNEE DATASET'!R:R)</f>
        <v>22177</v>
      </c>
      <c r="K26" s="28">
        <f>SUMIF('RETURNEE DATASET'!B:B,A26,'RETURNEE DATASET'!S:S)</f>
        <v>0</v>
      </c>
      <c r="L26" s="28">
        <f>SUMIF('RETURNEE DATASET'!B:B,A26,'RETURNEE DATASET'!T:T)</f>
        <v>0</v>
      </c>
      <c r="M26" s="28">
        <f>SUMIF('RETURNEE DATASET'!B:B,A26,'RETURNEE DATASET'!U:U)</f>
        <v>0</v>
      </c>
      <c r="N26" s="28">
        <f>SUMIF('RETURNEE DATASET'!B:B,A26,'RETURNEE DATASET'!V:V)</f>
        <v>0</v>
      </c>
      <c r="O26" s="28">
        <f>SUMIF('RETURNEE DATASET'!B:B,A26,'RETURNEE DATASET'!W:W)</f>
        <v>0</v>
      </c>
      <c r="P26" s="28">
        <f>SUMIF('RETURNEE DATASET'!B:B,A26,'RETURNEE DATASET'!X:X)</f>
        <v>491</v>
      </c>
      <c r="Q26" s="28">
        <f>SUMIF('RETURNEE DATASET'!B:B,A26,'RETURNEE DATASET'!Y:Y)</f>
        <v>11158</v>
      </c>
      <c r="R26" s="28">
        <f>SUMIF('RETURNEE DATASET'!B:B,A26,'RETURNEE DATASET'!Z:Z)</f>
        <v>0</v>
      </c>
      <c r="S26" s="28">
        <f>SUMIF('RETURNEE DATASET'!B:B,A26,'RETURNEE DATASET'!AA:AA)</f>
        <v>0</v>
      </c>
      <c r="T26" s="28">
        <f t="shared" ref="T26:T33" si="4">SUM(B26:S26)</f>
        <v>201478</v>
      </c>
    </row>
    <row r="27" spans="1:26" s="19" customFormat="1" x14ac:dyDescent="0.25">
      <c r="A27" s="40" t="s">
        <v>10</v>
      </c>
      <c r="B27" s="28">
        <f>SUMIF('RETURNEE DATASET'!B:B,A27,'RETURNEE DATASET'!J:J)</f>
        <v>0</v>
      </c>
      <c r="C27" s="28">
        <f>SUMIF('RETURNEE DATASET'!B:B,A27,'RETURNEE DATASET'!K:K)</f>
        <v>555</v>
      </c>
      <c r="D27" s="28">
        <f>SUMIF('RETURNEE DATASET'!B:B,A27,'RETURNEE DATASET'!L:L)</f>
        <v>10861</v>
      </c>
      <c r="E27" s="28">
        <f>SUMIF('RETURNEE DATASET'!B:B,A27,'RETURNEE DATASET'!M:M)</f>
        <v>0</v>
      </c>
      <c r="F27" s="28">
        <f>SUMIF('RETURNEE DATASET'!B:B,A27,'RETURNEE DATASET'!N:N)</f>
        <v>0</v>
      </c>
      <c r="G27" s="28">
        <f>SUMIF('RETURNEE DATASET'!B:B,A27,'RETURNEE DATASET'!O:O)</f>
        <v>0</v>
      </c>
      <c r="H27" s="28">
        <f>SUMIF('RETURNEE DATASET'!B:B,A27,'RETURNEE DATASET'!P:P)</f>
        <v>638</v>
      </c>
      <c r="I27" s="28">
        <f>SUMIF('RETURNEE DATASET'!B:B,A27,'RETURNEE DATASET'!Q:Q)</f>
        <v>8</v>
      </c>
      <c r="J27" s="28">
        <f>SUMIF('RETURNEE DATASET'!B:B,A27,'RETURNEE DATASET'!R:R)</f>
        <v>0</v>
      </c>
      <c r="K27" s="28">
        <f>SUMIF('RETURNEE DATASET'!B:B,A27,'RETURNEE DATASET'!S:S)</f>
        <v>20</v>
      </c>
      <c r="L27" s="28">
        <f>SUMIF('RETURNEE DATASET'!B:B,A27,'RETURNEE DATASET'!T:T)</f>
        <v>0</v>
      </c>
      <c r="M27" s="28">
        <f>SUMIF('RETURNEE DATASET'!B:B,A27,'RETURNEE DATASET'!U:U)</f>
        <v>0</v>
      </c>
      <c r="N27" s="28">
        <f>SUMIF('RETURNEE DATASET'!B:B,A27,'RETURNEE DATASET'!V:V)</f>
        <v>0</v>
      </c>
      <c r="O27" s="28">
        <f>SUMIF('RETURNEE DATASET'!B:B,A27,'RETURNEE DATASET'!W:W)</f>
        <v>0</v>
      </c>
      <c r="P27" s="28">
        <f>SUMIF('RETURNEE DATASET'!B:B,A27,'RETURNEE DATASET'!X:X)</f>
        <v>0</v>
      </c>
      <c r="Q27" s="28">
        <f>SUMIF('RETURNEE DATASET'!B:B,A27,'RETURNEE DATASET'!Y:Y)</f>
        <v>81</v>
      </c>
      <c r="R27" s="28">
        <f>SUMIF('RETURNEE DATASET'!B:B,A27,'RETURNEE DATASET'!Z:Z)</f>
        <v>0</v>
      </c>
      <c r="S27" s="28">
        <f>SUMIF('RETURNEE DATASET'!B:B,A27,'RETURNEE DATASET'!AA:AA)</f>
        <v>0</v>
      </c>
      <c r="T27" s="28">
        <f t="shared" si="4"/>
        <v>12163</v>
      </c>
    </row>
    <row r="28" spans="1:26" s="19" customFormat="1" x14ac:dyDescent="0.25">
      <c r="A28" s="57" t="s">
        <v>12</v>
      </c>
      <c r="B28" s="28">
        <f>SUMIF('RETURNEE DATASET'!B:B,A28,'RETURNEE DATASET'!J:J)</f>
        <v>0</v>
      </c>
      <c r="C28" s="28">
        <f>SUMIF('RETURNEE DATASET'!B:B,A28,'RETURNEE DATASET'!K:K)</f>
        <v>0</v>
      </c>
      <c r="D28" s="28">
        <f>SUMIF('RETURNEE DATASET'!B:B,A28,'RETURNEE DATASET'!L:L)</f>
        <v>0</v>
      </c>
      <c r="E28" s="28">
        <f>SUMIF('RETURNEE DATASET'!B:B,A28,'RETURNEE DATASET'!M:M)</f>
        <v>0</v>
      </c>
      <c r="F28" s="28">
        <f>SUMIF('RETURNEE DATASET'!B:B,A28,'RETURNEE DATASET'!N:N)</f>
        <v>130</v>
      </c>
      <c r="G28" s="28">
        <f>SUMIF('RETURNEE DATASET'!B:B,A28,'RETURNEE DATASET'!O:O)</f>
        <v>0</v>
      </c>
      <c r="H28" s="28">
        <f>SUMIF('RETURNEE DATASET'!B:B,A28,'RETURNEE DATASET'!P:P)</f>
        <v>0</v>
      </c>
      <c r="I28" s="28">
        <f>SUMIF('RETURNEE DATASET'!B:B,A28,'RETURNEE DATASET'!Q:Q)</f>
        <v>0</v>
      </c>
      <c r="J28" s="28">
        <f>SUMIF('RETURNEE DATASET'!B:B,A28,'RETURNEE DATASET'!R:R)</f>
        <v>0</v>
      </c>
      <c r="K28" s="28">
        <f>SUMIF('RETURNEE DATASET'!B:B,A28,'RETURNEE DATASET'!S:S)</f>
        <v>0</v>
      </c>
      <c r="L28" s="28">
        <f>SUMIF('RETURNEE DATASET'!B:B,A28,'RETURNEE DATASET'!T:T)</f>
        <v>0</v>
      </c>
      <c r="M28" s="28">
        <f>SUMIF('RETURNEE DATASET'!B:B,A28,'RETURNEE DATASET'!U:U)</f>
        <v>0</v>
      </c>
      <c r="N28" s="28">
        <f>SUMIF('RETURNEE DATASET'!B:B,A28,'RETURNEE DATASET'!V:V)</f>
        <v>0</v>
      </c>
      <c r="O28" s="28">
        <f>SUMIF('RETURNEE DATASET'!B:B,A28,'RETURNEE DATASET'!W:W)</f>
        <v>0</v>
      </c>
      <c r="P28" s="28">
        <f>SUMIF('RETURNEE DATASET'!B:B,A28,'RETURNEE DATASET'!X:X)</f>
        <v>0</v>
      </c>
      <c r="Q28" s="28">
        <f>SUMIF('RETURNEE DATASET'!B:B,A28,'RETURNEE DATASET'!Y:Y)</f>
        <v>0</v>
      </c>
      <c r="R28" s="28">
        <f>SUMIF('RETURNEE DATASET'!B:B,A28,'RETURNEE DATASET'!Z:Z)</f>
        <v>0</v>
      </c>
      <c r="S28" s="28">
        <f>SUMIF('RETURNEE DATASET'!B:B,A28,'RETURNEE DATASET'!AA:AA)</f>
        <v>0</v>
      </c>
      <c r="T28" s="28">
        <f t="shared" ref="T28" si="5">SUM(B28:S28)</f>
        <v>130</v>
      </c>
    </row>
    <row r="29" spans="1:26" x14ac:dyDescent="0.25">
      <c r="A29" s="1" t="s">
        <v>13</v>
      </c>
      <c r="B29" s="2">
        <f>SUMIF('RETURNEE DATASET'!B:B,A29,'RETURNEE DATASET'!J:J)</f>
        <v>55</v>
      </c>
      <c r="C29" s="2">
        <f>SUMIF('RETURNEE DATASET'!B:B,A29,'RETURNEE DATASET'!K:K)</f>
        <v>0</v>
      </c>
      <c r="D29" s="2">
        <f>SUMIF('RETURNEE DATASET'!B:B,A29,'RETURNEE DATASET'!L:L)</f>
        <v>176</v>
      </c>
      <c r="E29" s="28">
        <f>SUMIF('RETURNEE DATASET'!B:B,A29,'RETURNEE DATASET'!M:M)</f>
        <v>0</v>
      </c>
      <c r="F29" s="2">
        <f>SUMIF('RETURNEE DATASET'!B:B,A29,'RETURNEE DATASET'!N:N)</f>
        <v>0</v>
      </c>
      <c r="G29" s="2">
        <f>SUMIF('RETURNEE DATASET'!B:B,A29,'RETURNEE DATASET'!O:O)</f>
        <v>28384</v>
      </c>
      <c r="H29" s="2">
        <f>SUMIF('RETURNEE DATASET'!B:B,A29,'RETURNEE DATASET'!P:P)</f>
        <v>78</v>
      </c>
      <c r="I29" s="2">
        <f>SUMIF('RETURNEE DATASET'!B:B,A29,'RETURNEE DATASET'!Q:Q)</f>
        <v>0</v>
      </c>
      <c r="J29" s="2">
        <f>SUMIF('RETURNEE DATASET'!B:B,A29,'RETURNEE DATASET'!R:R)</f>
        <v>4227</v>
      </c>
      <c r="K29" s="28">
        <f>SUMIF('RETURNEE DATASET'!B:B,A29,'RETURNEE DATASET'!S:S)</f>
        <v>0</v>
      </c>
      <c r="L29" s="28">
        <f>SUMIF('RETURNEE DATASET'!B:B,A29,'RETURNEE DATASET'!T:T)</f>
        <v>0</v>
      </c>
      <c r="M29" s="2">
        <f>SUMIF('RETURNEE DATASET'!B:B,A29,'RETURNEE DATASET'!U:U)</f>
        <v>0</v>
      </c>
      <c r="N29" s="2">
        <f>SUMIF('RETURNEE DATASET'!B:B,A29,'RETURNEE DATASET'!V:V)</f>
        <v>0</v>
      </c>
      <c r="O29" s="28">
        <f>SUMIF('RETURNEE DATASET'!B:B,A29,'RETURNEE DATASET'!W:W)</f>
        <v>0</v>
      </c>
      <c r="P29" s="2">
        <f>SUMIF('RETURNEE DATASET'!B:B,A29,'RETURNEE DATASET'!X:X)</f>
        <v>0</v>
      </c>
      <c r="Q29" s="2">
        <f>SUMIF('RETURNEE DATASET'!B:B,A29,'RETURNEE DATASET'!Y:Y)</f>
        <v>3316</v>
      </c>
      <c r="R29" s="28">
        <f>SUMIF('RETURNEE DATASET'!B:B,A29,'RETURNEE DATASET'!Z:Z)</f>
        <v>0</v>
      </c>
      <c r="S29" s="28">
        <f>SUMIF('RETURNEE DATASET'!B:B,A29,'RETURNEE DATASET'!AA:AA)</f>
        <v>0</v>
      </c>
      <c r="T29" s="2">
        <f t="shared" si="4"/>
        <v>36236</v>
      </c>
    </row>
    <row r="30" spans="1:26" x14ac:dyDescent="0.25">
      <c r="A30" s="1" t="s">
        <v>14</v>
      </c>
      <c r="B30" s="2">
        <f>SUMIF('RETURNEE DATASET'!B:B,A30,'RETURNEE DATASET'!J:J)</f>
        <v>0</v>
      </c>
      <c r="C30" s="2">
        <f>SUMIF('RETURNEE DATASET'!B:B,A30,'RETURNEE DATASET'!K:K)</f>
        <v>0</v>
      </c>
      <c r="D30" s="2">
        <f>SUMIF('RETURNEE DATASET'!B:B,A30,'RETURNEE DATASET'!L:L)</f>
        <v>0</v>
      </c>
      <c r="E30" s="28">
        <f>SUMIF('RETURNEE DATASET'!B:B,A30,'RETURNEE DATASET'!M:M)</f>
        <v>0</v>
      </c>
      <c r="F30" s="2">
        <f>SUMIF('RETURNEE DATASET'!B:B,A30,'RETURNEE DATASET'!N:N)</f>
        <v>0</v>
      </c>
      <c r="G30" s="2">
        <f>SUMIF('RETURNEE DATASET'!B:B,A30,'RETURNEE DATASET'!O:O)</f>
        <v>0</v>
      </c>
      <c r="H30" s="2">
        <f>SUMIF('RETURNEE DATASET'!B:B,A30,'RETURNEE DATASET'!P:P)</f>
        <v>5435</v>
      </c>
      <c r="I30" s="2">
        <f>SUMIF('RETURNEE DATASET'!B:B,A30,'RETURNEE DATASET'!Q:Q)</f>
        <v>0</v>
      </c>
      <c r="J30" s="2">
        <f>SUMIF('RETURNEE DATASET'!B:B,A30,'RETURNEE DATASET'!R:R)</f>
        <v>400</v>
      </c>
      <c r="K30" s="28">
        <f>SUMIF('RETURNEE DATASET'!B:B,A30,'RETURNEE DATASET'!S:S)</f>
        <v>0</v>
      </c>
      <c r="L30" s="28">
        <f>SUMIF('RETURNEE DATASET'!B:B,A30,'RETURNEE DATASET'!T:T)</f>
        <v>0</v>
      </c>
      <c r="M30" s="2">
        <f>SUMIF('RETURNEE DATASET'!B:B,A30,'RETURNEE DATASET'!U:U)</f>
        <v>0</v>
      </c>
      <c r="N30" s="2">
        <f>SUMIF('RETURNEE DATASET'!B:B,A30,'RETURNEE DATASET'!V:V)</f>
        <v>0</v>
      </c>
      <c r="O30" s="28">
        <f>SUMIF('RETURNEE DATASET'!B:B,A30,'RETURNEE DATASET'!W:W)</f>
        <v>0</v>
      </c>
      <c r="P30" s="2">
        <f>SUMIF('RETURNEE DATASET'!B:B,A30,'RETURNEE DATASET'!X:X)</f>
        <v>0</v>
      </c>
      <c r="Q30" s="2">
        <f>SUMIF('RETURNEE DATASET'!B:B,A30,'RETURNEE DATASET'!Y:Y)</f>
        <v>0</v>
      </c>
      <c r="R30" s="28">
        <f>SUMIF('RETURNEE DATASET'!B:B,A30,'RETURNEE DATASET'!Z:Z)</f>
        <v>0</v>
      </c>
      <c r="S30" s="28">
        <f>SUMIF('RETURNEE DATASET'!B:B,A30,'RETURNEE DATASET'!AA:AA)</f>
        <v>0</v>
      </c>
      <c r="T30" s="2">
        <f t="shared" si="4"/>
        <v>5835</v>
      </c>
    </row>
    <row r="31" spans="1:26" x14ac:dyDescent="0.25">
      <c r="A31" s="1" t="s">
        <v>16</v>
      </c>
      <c r="B31" s="2">
        <f>SUMIF('RETURNEE DATASET'!B:B,A31,'RETURNEE DATASET'!J:J)</f>
        <v>0</v>
      </c>
      <c r="C31" s="2">
        <f>SUMIF('RETURNEE DATASET'!B:B,A31,'RETURNEE DATASET'!K:K)</f>
        <v>0</v>
      </c>
      <c r="D31" s="2">
        <f>SUMIF('RETURNEE DATASET'!B:B,A31,'RETURNEE DATASET'!L:L)</f>
        <v>0</v>
      </c>
      <c r="E31" s="28">
        <f>SUMIF('RETURNEE DATASET'!B:B,A31,'RETURNEE DATASET'!M:M)</f>
        <v>0</v>
      </c>
      <c r="F31" s="2">
        <f>SUMIF('RETURNEE DATASET'!B:B,A31,'RETURNEE DATASET'!N:N)</f>
        <v>0</v>
      </c>
      <c r="G31" s="2">
        <f>SUMIF('RETURNEE DATASET'!B:B,A31,'RETURNEE DATASET'!O:O)</f>
        <v>0</v>
      </c>
      <c r="H31" s="2">
        <f>SUMIF('RETURNEE DATASET'!B:B,A31,'RETURNEE DATASET'!P:P)</f>
        <v>4300</v>
      </c>
      <c r="I31" s="2">
        <f>SUMIF('RETURNEE DATASET'!B:B,A31,'RETURNEE DATASET'!Q:Q)</f>
        <v>0</v>
      </c>
      <c r="J31" s="2">
        <f>SUMIF('RETURNEE DATASET'!B:B,A31,'RETURNEE DATASET'!R:R)</f>
        <v>10657</v>
      </c>
      <c r="K31" s="28">
        <f>SUMIF('RETURNEE DATASET'!B:B,A31,'RETURNEE DATASET'!S:S)</f>
        <v>0</v>
      </c>
      <c r="L31" s="28">
        <f>SUMIF('RETURNEE DATASET'!B:B,A31,'RETURNEE DATASET'!T:T)</f>
        <v>0</v>
      </c>
      <c r="M31" s="2">
        <f>SUMIF('RETURNEE DATASET'!B:B,A31,'RETURNEE DATASET'!U:U)</f>
        <v>0</v>
      </c>
      <c r="N31" s="2">
        <f>SUMIF('RETURNEE DATASET'!B:B,A31,'RETURNEE DATASET'!V:V)</f>
        <v>250</v>
      </c>
      <c r="O31" s="28">
        <f>SUMIF('RETURNEE DATASET'!B:B,A31,'RETURNEE DATASET'!W:W)</f>
        <v>0</v>
      </c>
      <c r="P31" s="2">
        <f>SUMIF('RETURNEE DATASET'!B:B,A31,'RETURNEE DATASET'!X:X)</f>
        <v>1005</v>
      </c>
      <c r="Q31" s="2">
        <f>SUMIF('RETURNEE DATASET'!B:B,A31,'RETURNEE DATASET'!Y:Y)</f>
        <v>22100</v>
      </c>
      <c r="R31" s="28">
        <f>SUMIF('RETURNEE DATASET'!B:B,A31,'RETURNEE DATASET'!Z:Z)</f>
        <v>0</v>
      </c>
      <c r="S31" s="28">
        <f>SUMIF('RETURNEE DATASET'!B:B,A31,'RETURNEE DATASET'!AA:AA)</f>
        <v>0</v>
      </c>
      <c r="T31" s="2">
        <f t="shared" si="4"/>
        <v>38312</v>
      </c>
    </row>
    <row r="32" spans="1:26" x14ac:dyDescent="0.25">
      <c r="A32" s="1" t="s">
        <v>20</v>
      </c>
      <c r="B32" s="2">
        <f>SUMIF('RETURNEE DATASET'!B:B,A32,'RETURNEE DATASET'!J:J)</f>
        <v>30</v>
      </c>
      <c r="C32" s="2">
        <f>SUMIF('RETURNEE DATASET'!B:B,A32,'RETURNEE DATASET'!K:K)</f>
        <v>845</v>
      </c>
      <c r="D32" s="2">
        <f>SUMIF('RETURNEE DATASET'!B:B,A32,'RETURNEE DATASET'!L:L)</f>
        <v>1174</v>
      </c>
      <c r="E32" s="28">
        <f>SUMIF('RETURNEE DATASET'!B:B,A32,'RETURNEE DATASET'!M:M)</f>
        <v>319</v>
      </c>
      <c r="F32" s="2">
        <f>SUMIF('RETURNEE DATASET'!B:B,A32,'RETURNEE DATASET'!N:N)</f>
        <v>18795</v>
      </c>
      <c r="G32" s="2">
        <f>SUMIF('RETURNEE DATASET'!B:B,A32,'RETURNEE DATASET'!O:O)</f>
        <v>45</v>
      </c>
      <c r="H32" s="2">
        <f>SUMIF('RETURNEE DATASET'!B:B,A32,'RETURNEE DATASET'!P:P)</f>
        <v>15404</v>
      </c>
      <c r="I32" s="2">
        <f>SUMIF('RETURNEE DATASET'!B:B,A32,'RETURNEE DATASET'!Q:Q)</f>
        <v>2058</v>
      </c>
      <c r="J32" s="2">
        <f>SUMIF('RETURNEE DATASET'!B:B,A32,'RETURNEE DATASET'!R:R)</f>
        <v>856</v>
      </c>
      <c r="K32" s="28">
        <f>SUMIF('RETURNEE DATASET'!B:B,A32,'RETURNEE DATASET'!S:S)</f>
        <v>229</v>
      </c>
      <c r="L32" s="28">
        <f>SUMIF('RETURNEE DATASET'!B:B,A32,'RETURNEE DATASET'!T:T)</f>
        <v>224</v>
      </c>
      <c r="M32" s="2">
        <f>SUMIF('RETURNEE DATASET'!B:B,A32,'RETURNEE DATASET'!U:U)</f>
        <v>2323</v>
      </c>
      <c r="N32" s="2">
        <f>SUMIF('RETURNEE DATASET'!B:B,A32,'RETURNEE DATASET'!V:V)</f>
        <v>58535</v>
      </c>
      <c r="O32" s="28">
        <f>SUMIF('RETURNEE DATASET'!B:B,A32,'RETURNEE DATASET'!W:W)</f>
        <v>526</v>
      </c>
      <c r="P32" s="2">
        <f>SUMIF('RETURNEE DATASET'!B:B,A32,'RETURNEE DATASET'!X:X)</f>
        <v>602</v>
      </c>
      <c r="Q32" s="2">
        <f>SUMIF('RETURNEE DATASET'!B:B,A32,'RETURNEE DATASET'!Y:Y)</f>
        <v>353</v>
      </c>
      <c r="R32" s="28">
        <f>SUMIF('RETURNEE DATASET'!B:B,A32,'RETURNEE DATASET'!Z:Z)</f>
        <v>410</v>
      </c>
      <c r="S32" s="28">
        <f>SUMIF('RETURNEE DATASET'!B:B,A32,'RETURNEE DATASET'!AA:AA)</f>
        <v>1288</v>
      </c>
      <c r="T32" s="2">
        <f t="shared" si="4"/>
        <v>104016</v>
      </c>
    </row>
    <row r="33" spans="1:20" s="15" customFormat="1" x14ac:dyDescent="0.25">
      <c r="A33" s="16" t="s">
        <v>22</v>
      </c>
      <c r="B33" s="2">
        <f>SUMIF('RETURNEE DATASET'!B:B,A33,'RETURNEE DATASET'!J:J)</f>
        <v>0</v>
      </c>
      <c r="C33" s="2">
        <f>SUMIF('RETURNEE DATASET'!B:B,A33,'RETURNEE DATASET'!K:K)</f>
        <v>0</v>
      </c>
      <c r="D33" s="2">
        <f>SUMIF('RETURNEE DATASET'!B:B,A33,'RETURNEE DATASET'!L:L)</f>
        <v>3925</v>
      </c>
      <c r="E33" s="28">
        <f>SUMIF('RETURNEE DATASET'!B:B,A33,'RETURNEE DATASET'!M:M)</f>
        <v>115</v>
      </c>
      <c r="F33" s="2">
        <f>SUMIF('RETURNEE DATASET'!B:B,A33,'RETURNEE DATASET'!N:N)</f>
        <v>389</v>
      </c>
      <c r="G33" s="2">
        <f>SUMIF('RETURNEE DATASET'!B:B,A33,'RETURNEE DATASET'!O:O)</f>
        <v>2</v>
      </c>
      <c r="H33" s="2">
        <f>SUMIF('RETURNEE DATASET'!B:B,A33,'RETURNEE DATASET'!P:P)</f>
        <v>12264</v>
      </c>
      <c r="I33" s="2">
        <f>SUMIF('RETURNEE DATASET'!B:B,A33,'RETURNEE DATASET'!Q:Q)</f>
        <v>247</v>
      </c>
      <c r="J33" s="2">
        <f>SUMIF('RETURNEE DATASET'!B:B,A33,'RETURNEE DATASET'!R:R)</f>
        <v>22917</v>
      </c>
      <c r="K33" s="28">
        <f>SUMIF('RETURNEE DATASET'!B:B,A33,'RETURNEE DATASET'!S:S)</f>
        <v>30</v>
      </c>
      <c r="L33" s="28">
        <f>SUMIF('RETURNEE DATASET'!B:B,A33,'RETURNEE DATASET'!T:T)</f>
        <v>0</v>
      </c>
      <c r="M33" s="2">
        <f>SUMIF('RETURNEE DATASET'!B:B,A33,'RETURNEE DATASET'!U:U)</f>
        <v>157</v>
      </c>
      <c r="N33" s="2">
        <f>SUMIF('RETURNEE DATASET'!B:B,A33,'RETURNEE DATASET'!V:V)</f>
        <v>122</v>
      </c>
      <c r="O33" s="28">
        <f>SUMIF('RETURNEE DATASET'!B:B,A33,'RETURNEE DATASET'!W:W)</f>
        <v>0</v>
      </c>
      <c r="P33" s="2">
        <f>SUMIF('RETURNEE DATASET'!B:B,A33,'RETURNEE DATASET'!X:X)</f>
        <v>32890</v>
      </c>
      <c r="Q33" s="2">
        <f>SUMIF('RETURNEE DATASET'!B:B,A33,'RETURNEE DATASET'!Y:Y)</f>
        <v>2873</v>
      </c>
      <c r="R33" s="28">
        <f>SUMIF('RETURNEE DATASET'!B:B,A33,'RETURNEE DATASET'!Z:Z)</f>
        <v>0</v>
      </c>
      <c r="S33" s="28">
        <f>SUMIF('RETURNEE DATASET'!B:B,A33,'RETURNEE DATASET'!AA:AA)</f>
        <v>2</v>
      </c>
      <c r="T33" s="2">
        <f t="shared" si="4"/>
        <v>75933</v>
      </c>
    </row>
    <row r="34" spans="1:20" x14ac:dyDescent="0.25">
      <c r="A34" s="6" t="s">
        <v>48</v>
      </c>
      <c r="B34" s="7">
        <f>SUM(B26:B33)</f>
        <v>94986</v>
      </c>
      <c r="C34" s="7">
        <f t="shared" ref="C34:S34" si="6">SUM(C26:C33)</f>
        <v>2860</v>
      </c>
      <c r="D34" s="7">
        <f t="shared" si="6"/>
        <v>60539</v>
      </c>
      <c r="E34" s="7">
        <f t="shared" si="6"/>
        <v>434</v>
      </c>
      <c r="F34" s="7">
        <f t="shared" si="6"/>
        <v>19463</v>
      </c>
      <c r="G34" s="7">
        <f t="shared" si="6"/>
        <v>28431</v>
      </c>
      <c r="H34" s="7">
        <f t="shared" si="6"/>
        <v>64858</v>
      </c>
      <c r="I34" s="7">
        <f t="shared" si="6"/>
        <v>2313</v>
      </c>
      <c r="J34" s="7">
        <f t="shared" si="6"/>
        <v>61234</v>
      </c>
      <c r="K34" s="7">
        <f t="shared" si="6"/>
        <v>279</v>
      </c>
      <c r="L34" s="7">
        <f>SUM(L26:L33)</f>
        <v>224</v>
      </c>
      <c r="M34" s="7">
        <f t="shared" si="6"/>
        <v>2480</v>
      </c>
      <c r="N34" s="7">
        <f t="shared" si="6"/>
        <v>58907</v>
      </c>
      <c r="O34" s="7">
        <f t="shared" si="6"/>
        <v>526</v>
      </c>
      <c r="P34" s="7">
        <f t="shared" si="6"/>
        <v>34988</v>
      </c>
      <c r="Q34" s="7">
        <f t="shared" si="6"/>
        <v>39881</v>
      </c>
      <c r="R34" s="7">
        <f t="shared" si="6"/>
        <v>410</v>
      </c>
      <c r="S34" s="7">
        <f t="shared" si="6"/>
        <v>1290</v>
      </c>
      <c r="T34" s="7">
        <f>SUM(T26:T33)</f>
        <v>474103</v>
      </c>
    </row>
    <row r="35" spans="1:20" ht="18" customHeight="1" x14ac:dyDescent="0.25"/>
    <row r="36" spans="1:20" ht="15" customHeight="1" x14ac:dyDescent="0.25">
      <c r="A36" s="26" t="s">
        <v>0</v>
      </c>
      <c r="B36" s="61" t="s">
        <v>3</v>
      </c>
      <c r="C36" s="61"/>
      <c r="D36" s="61"/>
      <c r="E36" s="61"/>
      <c r="F36" s="61"/>
      <c r="G36" s="61"/>
    </row>
    <row r="37" spans="1:20" ht="25.5" x14ac:dyDescent="0.25">
      <c r="A37" s="27" t="s">
        <v>46</v>
      </c>
      <c r="B37" s="29" t="s">
        <v>50</v>
      </c>
      <c r="C37" s="29" t="s">
        <v>51</v>
      </c>
      <c r="D37" s="29" t="s">
        <v>52</v>
      </c>
      <c r="E37" s="29" t="s">
        <v>53</v>
      </c>
      <c r="F37" s="29" t="s">
        <v>54</v>
      </c>
      <c r="G37" s="42" t="s">
        <v>73</v>
      </c>
      <c r="H37" s="43" t="s">
        <v>74</v>
      </c>
      <c r="I37" s="55" t="s">
        <v>79</v>
      </c>
      <c r="J37" s="29" t="s">
        <v>47</v>
      </c>
      <c r="L37"/>
      <c r="M37" s="19"/>
      <c r="O37"/>
      <c r="P37" s="19"/>
      <c r="R37"/>
      <c r="S37" s="19"/>
    </row>
    <row r="38" spans="1:20" x14ac:dyDescent="0.25">
      <c r="A38" s="1" t="s">
        <v>8</v>
      </c>
      <c r="B38" s="28">
        <f>SUMIF('RETURNEE DATASET'!B:B,A38,'RETURNEE DATASET'!AM:AM)</f>
        <v>57605</v>
      </c>
      <c r="C38" s="28">
        <f>SUMIF('RETURNEE DATASET'!B:B,A38,'RETURNEE DATASET'!AN:AN)</f>
        <v>21513</v>
      </c>
      <c r="D38" s="28">
        <f>SUMIF('RETURNEE DATASET'!B:B,A38,'RETURNEE DATASET'!AO:AO)</f>
        <v>0</v>
      </c>
      <c r="E38" s="28">
        <f>SUMIF('RETURNEE DATASET'!B:B,A38,'RETURNEE DATASET'!AP:AP)</f>
        <v>42959</v>
      </c>
      <c r="F38" s="28">
        <f>SUMIF('RETURNEE DATASET'!B:B,A38,'RETURNEE DATASET'!AQ:AQ)</f>
        <v>55434</v>
      </c>
      <c r="G38" s="28">
        <f>SUMIF('RETURNEE DATASET'!B:B,A38,'RETURNEE DATASET'!AR:AR)</f>
        <v>23967</v>
      </c>
      <c r="H38" s="28">
        <f>SUMIF('RETURNEE DATASET'!B:B,A38,'RETURNEE DATASET'!AS:AS)</f>
        <v>0</v>
      </c>
      <c r="I38" s="28">
        <f>SUMIF('RETURNEE DATASET'!B:B,A38,'RETURNEE DATASET'!AT:AT)</f>
        <v>0</v>
      </c>
      <c r="J38" s="28">
        <f t="shared" ref="J38:J45" si="7">SUM(B38:I38)</f>
        <v>201478</v>
      </c>
      <c r="L38"/>
      <c r="M38" s="19"/>
      <c r="O38"/>
      <c r="P38" s="19"/>
      <c r="R38"/>
      <c r="S38" s="19"/>
    </row>
    <row r="39" spans="1:20" s="19" customFormat="1" x14ac:dyDescent="0.25">
      <c r="A39" s="40" t="s">
        <v>10</v>
      </c>
      <c r="B39" s="28">
        <f>SUMIF('RETURNEE DATASET'!B:B,A39,'RETURNEE DATASET'!AM:AM)</f>
        <v>2214</v>
      </c>
      <c r="C39" s="28">
        <f>SUMIF('RETURNEE DATASET'!B:B,A39,'RETURNEE DATASET'!AN:AN)</f>
        <v>78</v>
      </c>
      <c r="D39" s="28">
        <f>SUMIF('RETURNEE DATASET'!B:B,A39,'RETURNEE DATASET'!AO:AO)</f>
        <v>2579</v>
      </c>
      <c r="E39" s="28">
        <f>SUMIF('RETURNEE DATASET'!B:B,A39,'RETURNEE DATASET'!AP:AP)</f>
        <v>7292</v>
      </c>
      <c r="F39" s="28">
        <f>SUMIF('RETURNEE DATASET'!B:B,A39,'RETURNEE DATASET'!AQ:AQ)</f>
        <v>0</v>
      </c>
      <c r="G39" s="28">
        <f>SUMIF('RETURNEE DATASET'!B:B,A39,'RETURNEE DATASET'!AR:AR)</f>
        <v>0</v>
      </c>
      <c r="H39" s="28">
        <f>SUMIF('RETURNEE DATASET'!B:B,A39,'RETURNEE DATASET'!AS:AS)</f>
        <v>0</v>
      </c>
      <c r="I39" s="28">
        <f>SUMIF('RETURNEE DATASET'!B:B,A39,'RETURNEE DATASET'!AT:AT)</f>
        <v>0</v>
      </c>
      <c r="J39" s="28">
        <f t="shared" si="7"/>
        <v>12163</v>
      </c>
    </row>
    <row r="40" spans="1:20" s="19" customFormat="1" x14ac:dyDescent="0.25">
      <c r="A40" s="57" t="s">
        <v>12</v>
      </c>
      <c r="B40" s="28">
        <f>SUMIF('RETURNEE DATASET'!B:B,A40,'RETURNEE DATASET'!AM:AM)</f>
        <v>0</v>
      </c>
      <c r="C40" s="28">
        <f>SUMIF('RETURNEE DATASET'!B:B,A40,'RETURNEE DATASET'!AN:AN)</f>
        <v>0</v>
      </c>
      <c r="D40" s="28">
        <f>SUMIF('RETURNEE DATASET'!B:B,A40,'RETURNEE DATASET'!AO:AO)</f>
        <v>0</v>
      </c>
      <c r="E40" s="28">
        <f>SUMIF('RETURNEE DATASET'!B:B,A40,'RETURNEE DATASET'!AP:AP)</f>
        <v>0</v>
      </c>
      <c r="F40" s="28">
        <f>SUMIF('RETURNEE DATASET'!B:B,A40,'RETURNEE DATASET'!AQ:AQ)</f>
        <v>0</v>
      </c>
      <c r="G40" s="28">
        <f>SUMIF('RETURNEE DATASET'!B:B,A40,'RETURNEE DATASET'!AR:AR)</f>
        <v>0</v>
      </c>
      <c r="H40" s="28">
        <f>SUMIF('RETURNEE DATASET'!B:B,A40,'RETURNEE DATASET'!AS:AS)</f>
        <v>0</v>
      </c>
      <c r="I40" s="28">
        <f>SUMIF('RETURNEE DATASET'!B:B,A40,'RETURNEE DATASET'!AT:AT)</f>
        <v>130</v>
      </c>
      <c r="J40" s="28">
        <f t="shared" ref="J40" si="8">SUM(B40:I40)</f>
        <v>130</v>
      </c>
    </row>
    <row r="41" spans="1:20" x14ac:dyDescent="0.25">
      <c r="A41" s="1" t="s">
        <v>13</v>
      </c>
      <c r="B41" s="2">
        <f>SUMIF('RETURNEE DATASET'!B:B,A41,'RETURNEE DATASET'!AM:AM)</f>
        <v>0</v>
      </c>
      <c r="C41" s="2">
        <f>SUMIF('RETURNEE DATASET'!B:B,A41,'RETURNEE DATASET'!AN:AN)</f>
        <v>19654</v>
      </c>
      <c r="D41" s="2">
        <f>SUMIF('RETURNEE DATASET'!B:B,A41,'RETURNEE DATASET'!AO:AO)</f>
        <v>5578</v>
      </c>
      <c r="E41" s="2">
        <f>SUMIF('RETURNEE DATASET'!B:B,A41,'RETURNEE DATASET'!AP:AP)</f>
        <v>10904</v>
      </c>
      <c r="F41" s="2">
        <f>SUMIF('RETURNEE DATASET'!B:B,A41,'RETURNEE DATASET'!AQ:AQ)</f>
        <v>0</v>
      </c>
      <c r="G41" s="28">
        <f>SUMIF('RETURNEE DATASET'!B:B,A41,'RETURNEE DATASET'!AR:AR)</f>
        <v>0</v>
      </c>
      <c r="H41" s="28">
        <f>SUMIF('RETURNEE DATASET'!B:B,A41,'RETURNEE DATASET'!AS:AS)</f>
        <v>0</v>
      </c>
      <c r="I41" s="28">
        <f>SUMIF('RETURNEE DATASET'!B:B,A41,'RETURNEE DATASET'!AT:AT)</f>
        <v>100</v>
      </c>
      <c r="J41" s="28">
        <f t="shared" si="7"/>
        <v>36236</v>
      </c>
      <c r="L41"/>
      <c r="M41" s="19"/>
      <c r="O41"/>
      <c r="P41" s="19"/>
      <c r="R41"/>
      <c r="S41" s="19"/>
    </row>
    <row r="42" spans="1:20" x14ac:dyDescent="0.25">
      <c r="A42" s="1" t="s">
        <v>14</v>
      </c>
      <c r="B42" s="2">
        <f>SUMIF('RETURNEE DATASET'!B:B,A42,'RETURNEE DATASET'!AM:AM)</f>
        <v>0</v>
      </c>
      <c r="C42" s="2">
        <f>SUMIF('RETURNEE DATASET'!B:B,A42,'RETURNEE DATASET'!AN:AN)</f>
        <v>249</v>
      </c>
      <c r="D42" s="2">
        <f>SUMIF('RETURNEE DATASET'!B:B,A42,'RETURNEE DATASET'!AO:AO)</f>
        <v>2050</v>
      </c>
      <c r="E42" s="2">
        <f>SUMIF('RETURNEE DATASET'!B:B,A42,'RETURNEE DATASET'!AP:AP)</f>
        <v>0</v>
      </c>
      <c r="F42" s="2">
        <f>SUMIF('RETURNEE DATASET'!B:B,A42,'RETURNEE DATASET'!AQ:AQ)</f>
        <v>0</v>
      </c>
      <c r="G42" s="28">
        <f>SUMIF('RETURNEE DATASET'!B:B,A42,'RETURNEE DATASET'!AR:AR)</f>
        <v>0</v>
      </c>
      <c r="H42" s="28">
        <f>SUMIF('RETURNEE DATASET'!B:B,A42,'RETURNEE DATASET'!AS:AS)</f>
        <v>0</v>
      </c>
      <c r="I42" s="28">
        <f>SUMIF('RETURNEE DATASET'!B:B,A42,'RETURNEE DATASET'!AT:AT)</f>
        <v>3536</v>
      </c>
      <c r="J42" s="28">
        <f t="shared" si="7"/>
        <v>5835</v>
      </c>
      <c r="L42"/>
      <c r="M42" s="19"/>
      <c r="O42"/>
      <c r="P42" s="19"/>
      <c r="R42"/>
      <c r="S42" s="19"/>
    </row>
    <row r="43" spans="1:20" x14ac:dyDescent="0.25">
      <c r="A43" s="1" t="s">
        <v>16</v>
      </c>
      <c r="B43" s="2">
        <f>SUMIF('RETURNEE DATASET'!B:B,A43,'RETURNEE DATASET'!AM:AM)</f>
        <v>0</v>
      </c>
      <c r="C43" s="2">
        <f>SUMIF('RETURNEE DATASET'!B:B,A43,'RETURNEE DATASET'!AN:AN)</f>
        <v>377</v>
      </c>
      <c r="D43" s="2">
        <f>SUMIF('RETURNEE DATASET'!B:B,A43,'RETURNEE DATASET'!AO:AO)</f>
        <v>717</v>
      </c>
      <c r="E43" s="2">
        <f>SUMIF('RETURNEE DATASET'!B:B,A43,'RETURNEE DATASET'!AP:AP)</f>
        <v>2085</v>
      </c>
      <c r="F43" s="2">
        <f>SUMIF('RETURNEE DATASET'!B:B,A43,'RETURNEE DATASET'!AQ:AQ)</f>
        <v>1697</v>
      </c>
      <c r="G43" s="28">
        <f>SUMIF('RETURNEE DATASET'!B:B,A43,'RETURNEE DATASET'!AR:AR)</f>
        <v>2308</v>
      </c>
      <c r="H43" s="28">
        <f>SUMIF('RETURNEE DATASET'!B:B,A43,'RETURNEE DATASET'!AS:AS)</f>
        <v>2286</v>
      </c>
      <c r="I43" s="28">
        <f>SUMIF('RETURNEE DATASET'!B:B,A43,'RETURNEE DATASET'!AT:AT)</f>
        <v>28842</v>
      </c>
      <c r="J43" s="28">
        <f t="shared" si="7"/>
        <v>38312</v>
      </c>
      <c r="L43"/>
      <c r="M43" s="19"/>
      <c r="O43"/>
      <c r="P43" s="19"/>
      <c r="R43"/>
      <c r="S43" s="19"/>
    </row>
    <row r="44" spans="1:20" x14ac:dyDescent="0.25">
      <c r="A44" s="1" t="s">
        <v>20</v>
      </c>
      <c r="B44" s="2">
        <f>SUMIF('RETURNEE DATASET'!B:B,A44,'RETURNEE DATASET'!AM:AM)</f>
        <v>0</v>
      </c>
      <c r="C44" s="2">
        <f>SUMIF('RETURNEE DATASET'!B:B,A44,'RETURNEE DATASET'!AN:AN)</f>
        <v>32</v>
      </c>
      <c r="D44" s="2">
        <f>SUMIF('RETURNEE DATASET'!B:B,A44,'RETURNEE DATASET'!AO:AO)</f>
        <v>64325</v>
      </c>
      <c r="E44" s="2">
        <f>SUMIF('RETURNEE DATASET'!B:B,A44,'RETURNEE DATASET'!AP:AP)</f>
        <v>1544</v>
      </c>
      <c r="F44" s="2">
        <f>SUMIF('RETURNEE DATASET'!B:B,A44,'RETURNEE DATASET'!AQ:AQ)</f>
        <v>841</v>
      </c>
      <c r="G44" s="28">
        <f>SUMIF('RETURNEE DATASET'!B:B,A44,'RETURNEE DATASET'!AR:AR)</f>
        <v>5665</v>
      </c>
      <c r="H44" s="28">
        <f>SUMIF('RETURNEE DATASET'!B:B,A44,'RETURNEE DATASET'!AS:AS)</f>
        <v>27399</v>
      </c>
      <c r="I44" s="28">
        <f>SUMIF('RETURNEE DATASET'!B:B,A44,'RETURNEE DATASET'!AT:AT)</f>
        <v>4210</v>
      </c>
      <c r="J44" s="28">
        <f t="shared" si="7"/>
        <v>104016</v>
      </c>
      <c r="L44"/>
      <c r="M44" s="19"/>
      <c r="O44"/>
      <c r="P44" s="19"/>
      <c r="R44"/>
      <c r="S44" s="19"/>
    </row>
    <row r="45" spans="1:20" s="15" customFormat="1" x14ac:dyDescent="0.25">
      <c r="A45" s="16" t="s">
        <v>22</v>
      </c>
      <c r="B45" s="2">
        <f>SUMIF('RETURNEE DATASET'!B:B,A45,'RETURNEE DATASET'!AM:AM)</f>
        <v>5337</v>
      </c>
      <c r="C45" s="2">
        <f>SUMIF('RETURNEE DATASET'!B:B,A45,'RETURNEE DATASET'!AN:AN)</f>
        <v>34770</v>
      </c>
      <c r="D45" s="2">
        <f>SUMIF('RETURNEE DATASET'!B:B,A45,'RETURNEE DATASET'!AO:AO)</f>
        <v>14968</v>
      </c>
      <c r="E45" s="2">
        <f>SUMIF('RETURNEE DATASET'!B:B,A45,'RETURNEE DATASET'!AP:AP)</f>
        <v>13243</v>
      </c>
      <c r="F45" s="2">
        <f>SUMIF('RETURNEE DATASET'!B:B,A45,'RETURNEE DATASET'!AQ:AQ)</f>
        <v>1940</v>
      </c>
      <c r="G45" s="28">
        <f>SUMIF('RETURNEE DATASET'!B:B,A45,'RETURNEE DATASET'!AR:AR)</f>
        <v>3816</v>
      </c>
      <c r="H45" s="28">
        <f>SUMIF('RETURNEE DATASET'!B:B,A45,'RETURNEE DATASET'!AS:AS)</f>
        <v>1372</v>
      </c>
      <c r="I45" s="28">
        <f>SUMIF('RETURNEE DATASET'!B:B,A45,'RETURNEE DATASET'!AT:AT)</f>
        <v>487</v>
      </c>
      <c r="J45" s="28">
        <f t="shared" si="7"/>
        <v>75933</v>
      </c>
      <c r="M45" s="19"/>
      <c r="P45" s="19"/>
      <c r="S45" s="19"/>
    </row>
    <row r="46" spans="1:20" x14ac:dyDescent="0.25">
      <c r="A46" s="6" t="s">
        <v>48</v>
      </c>
      <c r="B46" s="7">
        <f>SUM(B38:B45)</f>
        <v>65156</v>
      </c>
      <c r="C46" s="7">
        <f t="shared" ref="C46:F46" si="9">SUM(C38:C45)</f>
        <v>76673</v>
      </c>
      <c r="D46" s="7">
        <f t="shared" si="9"/>
        <v>90217</v>
      </c>
      <c r="E46" s="7">
        <f t="shared" si="9"/>
        <v>78027</v>
      </c>
      <c r="F46" s="7">
        <f t="shared" si="9"/>
        <v>59912</v>
      </c>
      <c r="G46" s="7">
        <f t="shared" ref="G46" si="10">SUM(G38:G45)</f>
        <v>35756</v>
      </c>
      <c r="H46" s="7">
        <f>SUM(H38:H45)</f>
        <v>31057</v>
      </c>
      <c r="I46" s="7">
        <f>SUM(I38:I45)</f>
        <v>37305</v>
      </c>
      <c r="J46" s="7">
        <f>SUM(J38:J45)</f>
        <v>474103</v>
      </c>
      <c r="L46"/>
      <c r="M46" s="19"/>
      <c r="O46"/>
      <c r="P46" s="19"/>
      <c r="R46"/>
      <c r="S46" s="19"/>
    </row>
    <row r="47" spans="1:20" ht="18" customHeight="1" x14ac:dyDescent="0.25"/>
  </sheetData>
  <mergeCells count="11">
    <mergeCell ref="B24:S24"/>
    <mergeCell ref="A10:B10"/>
    <mergeCell ref="B12:N12"/>
    <mergeCell ref="B36:G36"/>
    <mergeCell ref="A1:B1"/>
    <mergeCell ref="A3:B3"/>
    <mergeCell ref="A4:B4"/>
    <mergeCell ref="A5:B5"/>
    <mergeCell ref="A6:B6"/>
    <mergeCell ref="A2:B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2017-12-20T09:05:20Z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