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425"/>
  </bookViews>
  <sheets>
    <sheet name="RETURNEE DATASET" sheetId="1" r:id="rId1"/>
    <sheet name="Summary" sheetId="2" r:id="rId2"/>
  </sheets>
  <definedNames>
    <definedName name="_xlnm._FilterDatabase" localSheetId="0" hidden="1">'RETURNEE DATASET'!$A$4:$AV$581</definedName>
  </definedNames>
  <calcPr calcId="152511"/>
</workbook>
</file>

<file path=xl/calcChain.xml><?xml version="1.0" encoding="utf-8"?>
<calcChain xmlns="http://schemas.openxmlformats.org/spreadsheetml/2006/main">
  <c r="AT5" i="1" l="1"/>
  <c r="AU5" i="1"/>
  <c r="AV5" i="1"/>
  <c r="AT6" i="1"/>
  <c r="AU6" i="1"/>
  <c r="AV6" i="1"/>
  <c r="AT7" i="1"/>
  <c r="AU7" i="1"/>
  <c r="AV7" i="1"/>
  <c r="AT8" i="1"/>
  <c r="AU8" i="1"/>
  <c r="AV8" i="1"/>
  <c r="AT9" i="1"/>
  <c r="AU9" i="1"/>
  <c r="AV9" i="1"/>
  <c r="AT10" i="1"/>
  <c r="AU10" i="1"/>
  <c r="AV10" i="1"/>
  <c r="AT11" i="1"/>
  <c r="AU11" i="1"/>
  <c r="AV11" i="1"/>
  <c r="AT12" i="1"/>
  <c r="AU12" i="1"/>
  <c r="AV12" i="1"/>
  <c r="AT13" i="1"/>
  <c r="AU13" i="1"/>
  <c r="AV13" i="1"/>
  <c r="AT14" i="1"/>
  <c r="AU14" i="1"/>
  <c r="AV14" i="1"/>
  <c r="AT15" i="1"/>
  <c r="AU15" i="1"/>
  <c r="AV15" i="1"/>
  <c r="AT16" i="1"/>
  <c r="AU16" i="1"/>
  <c r="AV16" i="1"/>
  <c r="AT17" i="1"/>
  <c r="AU17" i="1"/>
  <c r="AV17" i="1"/>
  <c r="AT18" i="1"/>
  <c r="AU18" i="1"/>
  <c r="AV18" i="1"/>
  <c r="AT19" i="1"/>
  <c r="AU19" i="1"/>
  <c r="AV19" i="1"/>
  <c r="AT20" i="1"/>
  <c r="AU20" i="1"/>
  <c r="AV20" i="1"/>
  <c r="AT21" i="1"/>
  <c r="AU21" i="1"/>
  <c r="AV21" i="1"/>
  <c r="AT22" i="1"/>
  <c r="AU22" i="1"/>
  <c r="AV22" i="1"/>
  <c r="AT23" i="1"/>
  <c r="AU23" i="1"/>
  <c r="AV23" i="1"/>
  <c r="AT24" i="1"/>
  <c r="AU24" i="1"/>
  <c r="AV24" i="1"/>
  <c r="AT25" i="1"/>
  <c r="AU25" i="1"/>
  <c r="AV25" i="1"/>
  <c r="AT26" i="1"/>
  <c r="AU26" i="1"/>
  <c r="AV26" i="1"/>
  <c r="AT27" i="1"/>
  <c r="AU27" i="1"/>
  <c r="AV27" i="1"/>
  <c r="AT28" i="1"/>
  <c r="AU28" i="1"/>
  <c r="AV28" i="1"/>
  <c r="AT29" i="1"/>
  <c r="AU29" i="1"/>
  <c r="AV29" i="1"/>
  <c r="AT30" i="1"/>
  <c r="AU30" i="1"/>
  <c r="AV30" i="1"/>
  <c r="AT31" i="1"/>
  <c r="AU31" i="1"/>
  <c r="AV31" i="1"/>
  <c r="AT32" i="1"/>
  <c r="AU32" i="1"/>
  <c r="AV32" i="1"/>
  <c r="AT33" i="1"/>
  <c r="AU33" i="1"/>
  <c r="AV33" i="1"/>
  <c r="AT34" i="1"/>
  <c r="AU34" i="1"/>
  <c r="AV34" i="1"/>
  <c r="AT35" i="1"/>
  <c r="AU35" i="1"/>
  <c r="AV35" i="1"/>
  <c r="AT36" i="1"/>
  <c r="AU36" i="1"/>
  <c r="AV36" i="1"/>
  <c r="AT37" i="1"/>
  <c r="AU37" i="1"/>
  <c r="AV37" i="1"/>
  <c r="AT38" i="1"/>
  <c r="AU38" i="1"/>
  <c r="AV38" i="1"/>
  <c r="AT39" i="1"/>
  <c r="AU39" i="1"/>
  <c r="AV39" i="1"/>
  <c r="AT40" i="1"/>
  <c r="AU40" i="1"/>
  <c r="AV40" i="1"/>
  <c r="AT41" i="1"/>
  <c r="AU41" i="1"/>
  <c r="AV41" i="1"/>
  <c r="AT42" i="1"/>
  <c r="AU42" i="1"/>
  <c r="AV42" i="1"/>
  <c r="AT43" i="1"/>
  <c r="AU43" i="1"/>
  <c r="AV43" i="1"/>
  <c r="AT44" i="1"/>
  <c r="AU44" i="1"/>
  <c r="AV44" i="1"/>
  <c r="AT45" i="1"/>
  <c r="AU45" i="1"/>
  <c r="AV45" i="1"/>
  <c r="AT46" i="1"/>
  <c r="AU46" i="1"/>
  <c r="AV46" i="1"/>
  <c r="AT47" i="1"/>
  <c r="AU47" i="1"/>
  <c r="AV47" i="1"/>
  <c r="AT48" i="1"/>
  <c r="AU48" i="1"/>
  <c r="AV48" i="1"/>
  <c r="AT49" i="1"/>
  <c r="AU49" i="1"/>
  <c r="AV49" i="1"/>
  <c r="AT50" i="1"/>
  <c r="AU50" i="1"/>
  <c r="AV50" i="1"/>
  <c r="AT51" i="1"/>
  <c r="AU51" i="1"/>
  <c r="AV51" i="1"/>
  <c r="AT52" i="1"/>
  <c r="AU52" i="1"/>
  <c r="AV52" i="1"/>
  <c r="AT53" i="1"/>
  <c r="AU53" i="1"/>
  <c r="AV53" i="1"/>
  <c r="AT54" i="1"/>
  <c r="AU54" i="1"/>
  <c r="AV54" i="1"/>
  <c r="AT55" i="1"/>
  <c r="AU55" i="1"/>
  <c r="AV55" i="1"/>
  <c r="AT56" i="1"/>
  <c r="AU56" i="1"/>
  <c r="AV56" i="1"/>
  <c r="AT57" i="1"/>
  <c r="AU57" i="1"/>
  <c r="AV57" i="1"/>
  <c r="AT58" i="1"/>
  <c r="AU58" i="1"/>
  <c r="AV58" i="1"/>
  <c r="AT59" i="1"/>
  <c r="AU59" i="1"/>
  <c r="AV59" i="1"/>
  <c r="AT60" i="1"/>
  <c r="AU60" i="1"/>
  <c r="AV60" i="1"/>
  <c r="AT61" i="1"/>
  <c r="AU61" i="1"/>
  <c r="AV61" i="1"/>
  <c r="AT62" i="1"/>
  <c r="AU62" i="1"/>
  <c r="AV62" i="1"/>
  <c r="AT63" i="1"/>
  <c r="AU63" i="1"/>
  <c r="AV63" i="1"/>
  <c r="AT64" i="1"/>
  <c r="AU64" i="1"/>
  <c r="AV64" i="1"/>
  <c r="AT65" i="1"/>
  <c r="AU65" i="1"/>
  <c r="AV65" i="1"/>
  <c r="AT66" i="1"/>
  <c r="AU66" i="1"/>
  <c r="AV66" i="1"/>
  <c r="AT67" i="1"/>
  <c r="AU67" i="1"/>
  <c r="AV67" i="1"/>
  <c r="AT68" i="1"/>
  <c r="AU68" i="1"/>
  <c r="AV68" i="1"/>
  <c r="AT69" i="1"/>
  <c r="AU69" i="1"/>
  <c r="AV69" i="1"/>
  <c r="AT70" i="1"/>
  <c r="AU70" i="1"/>
  <c r="AV70" i="1"/>
  <c r="AT71" i="1"/>
  <c r="AU71" i="1"/>
  <c r="AV71" i="1"/>
  <c r="AT72" i="1"/>
  <c r="AU72" i="1"/>
  <c r="AV72" i="1"/>
  <c r="AT73" i="1"/>
  <c r="AU73" i="1"/>
  <c r="AV73" i="1"/>
  <c r="AT74" i="1"/>
  <c r="AU74" i="1"/>
  <c r="AV74" i="1"/>
  <c r="AT75" i="1"/>
  <c r="AU75" i="1"/>
  <c r="AV75" i="1"/>
  <c r="AT76" i="1"/>
  <c r="AU76" i="1"/>
  <c r="AV76" i="1"/>
  <c r="AT77" i="1"/>
  <c r="AU77" i="1"/>
  <c r="AV77" i="1"/>
  <c r="AT78" i="1"/>
  <c r="AU78" i="1"/>
  <c r="AV78" i="1"/>
  <c r="AT79" i="1"/>
  <c r="AU79" i="1"/>
  <c r="AV79" i="1"/>
  <c r="AT80" i="1"/>
  <c r="AU80" i="1"/>
  <c r="AV80" i="1"/>
  <c r="AT81" i="1"/>
  <c r="AU81" i="1"/>
  <c r="AV81" i="1"/>
  <c r="AT82" i="1"/>
  <c r="AU82" i="1"/>
  <c r="AV82" i="1"/>
  <c r="AT83" i="1"/>
  <c r="AU83" i="1"/>
  <c r="AV83" i="1"/>
  <c r="AT84" i="1"/>
  <c r="AU84" i="1"/>
  <c r="AV84" i="1"/>
  <c r="AT85" i="1"/>
  <c r="AU85" i="1"/>
  <c r="AV85" i="1"/>
  <c r="AT86" i="1"/>
  <c r="AU86" i="1"/>
  <c r="AV86" i="1"/>
  <c r="AT87" i="1"/>
  <c r="AU87" i="1"/>
  <c r="AV87" i="1"/>
  <c r="AT88" i="1"/>
  <c r="AU88" i="1"/>
  <c r="AV88" i="1"/>
  <c r="AT89" i="1"/>
  <c r="AU89" i="1"/>
  <c r="AV89" i="1"/>
  <c r="AT90" i="1"/>
  <c r="AU90" i="1"/>
  <c r="AV90" i="1"/>
  <c r="AT91" i="1"/>
  <c r="AU91" i="1"/>
  <c r="AV91" i="1"/>
  <c r="AT92" i="1"/>
  <c r="AU92" i="1"/>
  <c r="AV92" i="1"/>
  <c r="AT93" i="1"/>
  <c r="AU93" i="1"/>
  <c r="AV93" i="1"/>
  <c r="AT94" i="1"/>
  <c r="AU94" i="1"/>
  <c r="AV94" i="1"/>
  <c r="AT95" i="1"/>
  <c r="AU95" i="1"/>
  <c r="AV95" i="1"/>
  <c r="AT96" i="1"/>
  <c r="AU96" i="1"/>
  <c r="AV96" i="1"/>
  <c r="AT97" i="1"/>
  <c r="AU97" i="1"/>
  <c r="AV97" i="1"/>
  <c r="AT98" i="1"/>
  <c r="AU98" i="1"/>
  <c r="AV98" i="1"/>
  <c r="AT99" i="1"/>
  <c r="AU99" i="1"/>
  <c r="AV99" i="1"/>
  <c r="AT100" i="1"/>
  <c r="AU100" i="1"/>
  <c r="AV100" i="1"/>
  <c r="AT101" i="1"/>
  <c r="AU101" i="1"/>
  <c r="AV101" i="1"/>
  <c r="AT102" i="1"/>
  <c r="AU102" i="1"/>
  <c r="AV102" i="1"/>
  <c r="AT103" i="1"/>
  <c r="AU103" i="1"/>
  <c r="AV103" i="1"/>
  <c r="AT104" i="1"/>
  <c r="AU104" i="1"/>
  <c r="AV104" i="1"/>
  <c r="AT105" i="1"/>
  <c r="AU105" i="1"/>
  <c r="AV105" i="1"/>
  <c r="AT106" i="1"/>
  <c r="AU106" i="1"/>
  <c r="AV106" i="1"/>
  <c r="AT107" i="1"/>
  <c r="AU107" i="1"/>
  <c r="AV107" i="1"/>
  <c r="AT108" i="1"/>
  <c r="AU108" i="1"/>
  <c r="AV108" i="1"/>
  <c r="AT109" i="1"/>
  <c r="AU109" i="1"/>
  <c r="AV109" i="1"/>
  <c r="AT110" i="1"/>
  <c r="AU110" i="1"/>
  <c r="AV110" i="1"/>
  <c r="AT111" i="1"/>
  <c r="AU111" i="1"/>
  <c r="AV111" i="1"/>
  <c r="AT112" i="1"/>
  <c r="AU112" i="1"/>
  <c r="AV112" i="1"/>
  <c r="AT113" i="1"/>
  <c r="AU113" i="1"/>
  <c r="AV113" i="1"/>
  <c r="AT114" i="1"/>
  <c r="AU114" i="1"/>
  <c r="AV114" i="1"/>
  <c r="AT115" i="1"/>
  <c r="AU115" i="1"/>
  <c r="AV115" i="1"/>
  <c r="AT116" i="1"/>
  <c r="AU116" i="1"/>
  <c r="AV116" i="1"/>
  <c r="AT117" i="1"/>
  <c r="AU117" i="1"/>
  <c r="AV117" i="1"/>
  <c r="AT118" i="1"/>
  <c r="AU118" i="1"/>
  <c r="AV118" i="1"/>
  <c r="AT119" i="1"/>
  <c r="AU119" i="1"/>
  <c r="AV119" i="1"/>
  <c r="AT120" i="1"/>
  <c r="AU120" i="1"/>
  <c r="AV120" i="1"/>
  <c r="AT121" i="1"/>
  <c r="AU121" i="1"/>
  <c r="AV121" i="1"/>
  <c r="AT122" i="1"/>
  <c r="AU122" i="1"/>
  <c r="AV122" i="1"/>
  <c r="AT123" i="1"/>
  <c r="AU123" i="1"/>
  <c r="AV123" i="1"/>
  <c r="AT124" i="1"/>
  <c r="AU124" i="1"/>
  <c r="AV124" i="1"/>
  <c r="AT125" i="1"/>
  <c r="AU125" i="1"/>
  <c r="AV125" i="1"/>
  <c r="AT126" i="1"/>
  <c r="AU126" i="1"/>
  <c r="AV126" i="1"/>
  <c r="AT127" i="1"/>
  <c r="AU127" i="1"/>
  <c r="AV127" i="1"/>
  <c r="AT128" i="1"/>
  <c r="AU128" i="1"/>
  <c r="AV128" i="1"/>
  <c r="AT129" i="1"/>
  <c r="AU129" i="1"/>
  <c r="AV129" i="1"/>
  <c r="AT130" i="1"/>
  <c r="AU130" i="1"/>
  <c r="AV130" i="1"/>
  <c r="AT131" i="1"/>
  <c r="AU131" i="1"/>
  <c r="AV131" i="1"/>
  <c r="AT132" i="1"/>
  <c r="AU132" i="1"/>
  <c r="AV132" i="1"/>
  <c r="AT133" i="1"/>
  <c r="AU133" i="1"/>
  <c r="AV133" i="1"/>
  <c r="AT134" i="1"/>
  <c r="AU134" i="1"/>
  <c r="AV134" i="1"/>
  <c r="AT135" i="1"/>
  <c r="AU135" i="1"/>
  <c r="AV135" i="1"/>
  <c r="AT136" i="1"/>
  <c r="AU136" i="1"/>
  <c r="AV136" i="1"/>
  <c r="AT137" i="1"/>
  <c r="AU137" i="1"/>
  <c r="AV137" i="1"/>
  <c r="AT138" i="1"/>
  <c r="AU138" i="1"/>
  <c r="AV138" i="1"/>
  <c r="AT139" i="1"/>
  <c r="AU139" i="1"/>
  <c r="AV139" i="1"/>
  <c r="AT140" i="1"/>
  <c r="AU140" i="1"/>
  <c r="AV140" i="1"/>
  <c r="AT141" i="1"/>
  <c r="AU141" i="1"/>
  <c r="AV141" i="1"/>
  <c r="AT142" i="1"/>
  <c r="AU142" i="1"/>
  <c r="AV142" i="1"/>
  <c r="AT143" i="1"/>
  <c r="AU143" i="1"/>
  <c r="AV143" i="1"/>
  <c r="AT144" i="1"/>
  <c r="AU144" i="1"/>
  <c r="AV144" i="1"/>
  <c r="AT145" i="1"/>
  <c r="AU145" i="1"/>
  <c r="AV145" i="1"/>
  <c r="AT146" i="1"/>
  <c r="AU146" i="1"/>
  <c r="AV146" i="1"/>
  <c r="AT147" i="1"/>
  <c r="AU147" i="1"/>
  <c r="AV147" i="1"/>
  <c r="AT148" i="1"/>
  <c r="AU148" i="1"/>
  <c r="AV148" i="1"/>
  <c r="AT149" i="1"/>
  <c r="AU149" i="1"/>
  <c r="AV149" i="1"/>
  <c r="AT150" i="1"/>
  <c r="AU150" i="1"/>
  <c r="AV150" i="1"/>
  <c r="AT151" i="1"/>
  <c r="AU151" i="1"/>
  <c r="AV151" i="1"/>
  <c r="AT152" i="1"/>
  <c r="AU152" i="1"/>
  <c r="AV152" i="1"/>
  <c r="AT153" i="1"/>
  <c r="AU153" i="1"/>
  <c r="AV153" i="1"/>
  <c r="AT154" i="1"/>
  <c r="AU154" i="1"/>
  <c r="AV154" i="1"/>
  <c r="AT155" i="1"/>
  <c r="AU155" i="1"/>
  <c r="AV155" i="1"/>
  <c r="AT156" i="1"/>
  <c r="AU156" i="1"/>
  <c r="AV156" i="1"/>
  <c r="AT157" i="1"/>
  <c r="AU157" i="1"/>
  <c r="AV157" i="1"/>
  <c r="AT158" i="1"/>
  <c r="AU158" i="1"/>
  <c r="AV158" i="1"/>
  <c r="AT159" i="1"/>
  <c r="AU159" i="1"/>
  <c r="AV159" i="1"/>
  <c r="AT160" i="1"/>
  <c r="AU160" i="1"/>
  <c r="AV160" i="1"/>
  <c r="AT161" i="1"/>
  <c r="AU161" i="1"/>
  <c r="AV161" i="1"/>
  <c r="AT162" i="1"/>
  <c r="AU162" i="1"/>
  <c r="AV162" i="1"/>
  <c r="AT163" i="1"/>
  <c r="AU163" i="1"/>
  <c r="AV163" i="1"/>
  <c r="AT164" i="1"/>
  <c r="AU164" i="1"/>
  <c r="AV164" i="1"/>
  <c r="AT165" i="1"/>
  <c r="AU165" i="1"/>
  <c r="AV165" i="1"/>
  <c r="AT166" i="1"/>
  <c r="AU166" i="1"/>
  <c r="AV166" i="1"/>
  <c r="AT167" i="1"/>
  <c r="AU167" i="1"/>
  <c r="AV167" i="1"/>
  <c r="AT168" i="1"/>
  <c r="AU168" i="1"/>
  <c r="AV168" i="1"/>
  <c r="AT169" i="1"/>
  <c r="AU169" i="1"/>
  <c r="AV169" i="1"/>
  <c r="AT170" i="1"/>
  <c r="AU170" i="1"/>
  <c r="AV170" i="1"/>
  <c r="AT171" i="1"/>
  <c r="AU171" i="1"/>
  <c r="AV171" i="1"/>
  <c r="AT172" i="1"/>
  <c r="AU172" i="1"/>
  <c r="AV172" i="1"/>
  <c r="AT173" i="1"/>
  <c r="AU173" i="1"/>
  <c r="AV173" i="1"/>
  <c r="AT174" i="1"/>
  <c r="AU174" i="1"/>
  <c r="AV174" i="1"/>
  <c r="AT175" i="1"/>
  <c r="AU175" i="1"/>
  <c r="AV175" i="1"/>
  <c r="AT176" i="1"/>
  <c r="AU176" i="1"/>
  <c r="AV176" i="1"/>
  <c r="AT177" i="1"/>
  <c r="AU177" i="1"/>
  <c r="AV177" i="1"/>
  <c r="AT178" i="1"/>
  <c r="AU178" i="1"/>
  <c r="AV178" i="1"/>
  <c r="AT179" i="1"/>
  <c r="AU179" i="1"/>
  <c r="AV179" i="1"/>
  <c r="AT180" i="1"/>
  <c r="AU180" i="1"/>
  <c r="AV180" i="1"/>
  <c r="AT181" i="1"/>
  <c r="AU181" i="1"/>
  <c r="AV181" i="1"/>
  <c r="AT182" i="1"/>
  <c r="AU182" i="1"/>
  <c r="AV182" i="1"/>
  <c r="AT183" i="1"/>
  <c r="AU183" i="1"/>
  <c r="AV183" i="1"/>
  <c r="AT184" i="1"/>
  <c r="AU184" i="1"/>
  <c r="AV184" i="1"/>
  <c r="AT185" i="1"/>
  <c r="AU185" i="1"/>
  <c r="AV185" i="1"/>
  <c r="AT186" i="1"/>
  <c r="AU186" i="1"/>
  <c r="AV186" i="1"/>
  <c r="AT187" i="1"/>
  <c r="AU187" i="1"/>
  <c r="AV187" i="1"/>
  <c r="AT188" i="1"/>
  <c r="AU188" i="1"/>
  <c r="AV188" i="1"/>
  <c r="AT189" i="1"/>
  <c r="AU189" i="1"/>
  <c r="AV189" i="1"/>
  <c r="AT190" i="1"/>
  <c r="AU190" i="1"/>
  <c r="AV190" i="1"/>
  <c r="AT191" i="1"/>
  <c r="AU191" i="1"/>
  <c r="AV191" i="1"/>
  <c r="AT192" i="1"/>
  <c r="AU192" i="1"/>
  <c r="AV192" i="1"/>
  <c r="AT193" i="1"/>
  <c r="AU193" i="1"/>
  <c r="AV193" i="1"/>
  <c r="AT194" i="1"/>
  <c r="AU194" i="1"/>
  <c r="AV194" i="1"/>
  <c r="AT195" i="1"/>
  <c r="AU195" i="1"/>
  <c r="AV195" i="1"/>
  <c r="AT196" i="1"/>
  <c r="AU196" i="1"/>
  <c r="AV196" i="1"/>
  <c r="AT197" i="1"/>
  <c r="AU197" i="1"/>
  <c r="AV197" i="1"/>
  <c r="AT198" i="1"/>
  <c r="AU198" i="1"/>
  <c r="AV198" i="1"/>
  <c r="AT199" i="1"/>
  <c r="AU199" i="1"/>
  <c r="AV199" i="1"/>
  <c r="AT200" i="1"/>
  <c r="AU200" i="1"/>
  <c r="AV200" i="1"/>
  <c r="AT201" i="1"/>
  <c r="AU201" i="1"/>
  <c r="AV201" i="1"/>
  <c r="AT202" i="1"/>
  <c r="AU202" i="1"/>
  <c r="AV202" i="1"/>
  <c r="AT203" i="1"/>
  <c r="AU203" i="1"/>
  <c r="AV203" i="1"/>
  <c r="AT204" i="1"/>
  <c r="AU204" i="1"/>
  <c r="AV204" i="1"/>
  <c r="AT205" i="1"/>
  <c r="AU205" i="1"/>
  <c r="AV205" i="1"/>
  <c r="AT206" i="1"/>
  <c r="AU206" i="1"/>
  <c r="AV206" i="1"/>
  <c r="AT207" i="1"/>
  <c r="AU207" i="1"/>
  <c r="AV207" i="1"/>
  <c r="AT208" i="1"/>
  <c r="AU208" i="1"/>
  <c r="AV208" i="1"/>
  <c r="AT209" i="1"/>
  <c r="AU209" i="1"/>
  <c r="AV209" i="1"/>
  <c r="AT210" i="1"/>
  <c r="AU210" i="1"/>
  <c r="AV210" i="1"/>
  <c r="AT211" i="1"/>
  <c r="AU211" i="1"/>
  <c r="AV211" i="1"/>
  <c r="AT212" i="1"/>
  <c r="AU212" i="1"/>
  <c r="AV212" i="1"/>
  <c r="AT213" i="1"/>
  <c r="AU213" i="1"/>
  <c r="AV213" i="1"/>
  <c r="AT214" i="1"/>
  <c r="AU214" i="1"/>
  <c r="AV214" i="1"/>
  <c r="AT215" i="1"/>
  <c r="AU215" i="1"/>
  <c r="AV215" i="1"/>
  <c r="AT216" i="1"/>
  <c r="AU216" i="1"/>
  <c r="AV216" i="1"/>
  <c r="AT217" i="1"/>
  <c r="AU217" i="1"/>
  <c r="AV217" i="1"/>
  <c r="AT218" i="1"/>
  <c r="AU218" i="1"/>
  <c r="AV218" i="1"/>
  <c r="AT219" i="1"/>
  <c r="AU219" i="1"/>
  <c r="AV219" i="1"/>
  <c r="AT220" i="1"/>
  <c r="AU220" i="1"/>
  <c r="AV220" i="1"/>
  <c r="AT221" i="1"/>
  <c r="AU221" i="1"/>
  <c r="AV221" i="1"/>
  <c r="AT222" i="1"/>
  <c r="AU222" i="1"/>
  <c r="AV222" i="1"/>
  <c r="AT223" i="1"/>
  <c r="AU223" i="1"/>
  <c r="AV223" i="1"/>
  <c r="AT224" i="1"/>
  <c r="AU224" i="1"/>
  <c r="AV224" i="1"/>
  <c r="AT225" i="1"/>
  <c r="AU225" i="1"/>
  <c r="AV225" i="1"/>
  <c r="AT226" i="1"/>
  <c r="AU226" i="1"/>
  <c r="AV226" i="1"/>
  <c r="AT227" i="1"/>
  <c r="AU227" i="1"/>
  <c r="AV227" i="1"/>
  <c r="AT228" i="1"/>
  <c r="AU228" i="1"/>
  <c r="AV228" i="1"/>
  <c r="AT229" i="1"/>
  <c r="AU229" i="1"/>
  <c r="AV229" i="1"/>
  <c r="AT230" i="1"/>
  <c r="AU230" i="1"/>
  <c r="AV230" i="1"/>
  <c r="AT231" i="1"/>
  <c r="AU231" i="1"/>
  <c r="AV231" i="1"/>
  <c r="AT232" i="1"/>
  <c r="AU232" i="1"/>
  <c r="AV232" i="1"/>
  <c r="AT233" i="1"/>
  <c r="AU233" i="1"/>
  <c r="AV233" i="1"/>
  <c r="AT234" i="1"/>
  <c r="AU234" i="1"/>
  <c r="AV234" i="1"/>
  <c r="AT235" i="1"/>
  <c r="AU235" i="1"/>
  <c r="AV235" i="1"/>
  <c r="AT236" i="1"/>
  <c r="AU236" i="1"/>
  <c r="AV236" i="1"/>
  <c r="AT237" i="1"/>
  <c r="AU237" i="1"/>
  <c r="AV237" i="1"/>
  <c r="AT238" i="1"/>
  <c r="AU238" i="1"/>
  <c r="AV238" i="1"/>
  <c r="AT239" i="1"/>
  <c r="AU239" i="1"/>
  <c r="AV239" i="1"/>
  <c r="AT240" i="1"/>
  <c r="AU240" i="1"/>
  <c r="AV240" i="1"/>
  <c r="AT241" i="1"/>
  <c r="AU241" i="1"/>
  <c r="AV241" i="1"/>
  <c r="AT242" i="1"/>
  <c r="AU242" i="1"/>
  <c r="AV242" i="1"/>
  <c r="AT243" i="1"/>
  <c r="AU243" i="1"/>
  <c r="AV243" i="1"/>
  <c r="AT244" i="1"/>
  <c r="AU244" i="1"/>
  <c r="AV244" i="1"/>
  <c r="AT245" i="1"/>
  <c r="AU245" i="1"/>
  <c r="AV245" i="1"/>
  <c r="AT246" i="1"/>
  <c r="AU246" i="1"/>
  <c r="AV246" i="1"/>
  <c r="AT247" i="1"/>
  <c r="AU247" i="1"/>
  <c r="AV247" i="1"/>
  <c r="AT248" i="1"/>
  <c r="AU248" i="1"/>
  <c r="AV248" i="1"/>
  <c r="AT249" i="1"/>
  <c r="AU249" i="1"/>
  <c r="AV249" i="1"/>
  <c r="AT250" i="1"/>
  <c r="AU250" i="1"/>
  <c r="AV250" i="1"/>
  <c r="AT251" i="1"/>
  <c r="AU251" i="1"/>
  <c r="AV251" i="1"/>
  <c r="AT252" i="1"/>
  <c r="AU252" i="1"/>
  <c r="AV252" i="1"/>
  <c r="AT253" i="1"/>
  <c r="AU253" i="1"/>
  <c r="AV253" i="1"/>
  <c r="AT254" i="1"/>
  <c r="AU254" i="1"/>
  <c r="AV254" i="1"/>
  <c r="AT255" i="1"/>
  <c r="AU255" i="1"/>
  <c r="AV255" i="1"/>
  <c r="AT256" i="1"/>
  <c r="AU256" i="1"/>
  <c r="AV256" i="1"/>
  <c r="AT257" i="1"/>
  <c r="AU257" i="1"/>
  <c r="AV257" i="1"/>
  <c r="AT258" i="1"/>
  <c r="AU258" i="1"/>
  <c r="AV258" i="1"/>
  <c r="AT259" i="1"/>
  <c r="AU259" i="1"/>
  <c r="AV259" i="1"/>
  <c r="AT260" i="1"/>
  <c r="AU260" i="1"/>
  <c r="AV260" i="1"/>
  <c r="AT261" i="1"/>
  <c r="AU261" i="1"/>
  <c r="AV261" i="1"/>
  <c r="AT262" i="1"/>
  <c r="AU262" i="1"/>
  <c r="AV262" i="1"/>
  <c r="AT263" i="1"/>
  <c r="AU263" i="1"/>
  <c r="AV263" i="1"/>
  <c r="AT264" i="1"/>
  <c r="AU264" i="1"/>
  <c r="AV264" i="1"/>
  <c r="AT265" i="1"/>
  <c r="AU265" i="1"/>
  <c r="AV265" i="1"/>
  <c r="AT266" i="1"/>
  <c r="AU266" i="1"/>
  <c r="AV266" i="1"/>
  <c r="AT267" i="1"/>
  <c r="AU267" i="1"/>
  <c r="AV267" i="1"/>
  <c r="AT268" i="1"/>
  <c r="AU268" i="1"/>
  <c r="AV268" i="1"/>
  <c r="AT269" i="1"/>
  <c r="AU269" i="1"/>
  <c r="AV269" i="1"/>
  <c r="AT270" i="1"/>
  <c r="AU270" i="1"/>
  <c r="AV270" i="1"/>
  <c r="AT271" i="1"/>
  <c r="AU271" i="1"/>
  <c r="AV271" i="1"/>
  <c r="AT272" i="1"/>
  <c r="AU272" i="1"/>
  <c r="AV272" i="1"/>
  <c r="AT273" i="1"/>
  <c r="AU273" i="1"/>
  <c r="AV273" i="1"/>
  <c r="AT274" i="1"/>
  <c r="AU274" i="1"/>
  <c r="AV274" i="1"/>
  <c r="AT275" i="1"/>
  <c r="AU275" i="1"/>
  <c r="AV275" i="1"/>
  <c r="AT276" i="1"/>
  <c r="AU276" i="1"/>
  <c r="AV276" i="1"/>
  <c r="AT277" i="1"/>
  <c r="AU277" i="1"/>
  <c r="AV277" i="1"/>
  <c r="AT278" i="1"/>
  <c r="AU278" i="1"/>
  <c r="AV278" i="1"/>
  <c r="AT279" i="1"/>
  <c r="AU279" i="1"/>
  <c r="AV279" i="1"/>
  <c r="AT280" i="1"/>
  <c r="AU280" i="1"/>
  <c r="AV280" i="1"/>
  <c r="AT281" i="1"/>
  <c r="AU281" i="1"/>
  <c r="AV281" i="1"/>
  <c r="AT282" i="1"/>
  <c r="AU282" i="1"/>
  <c r="AV282" i="1"/>
  <c r="AT283" i="1"/>
  <c r="AU283" i="1"/>
  <c r="AV283" i="1"/>
  <c r="AT284" i="1"/>
  <c r="AU284" i="1"/>
  <c r="AV284" i="1"/>
  <c r="AT285" i="1"/>
  <c r="AU285" i="1"/>
  <c r="AV285" i="1"/>
  <c r="AT286" i="1"/>
  <c r="AU286" i="1"/>
  <c r="AV286" i="1"/>
  <c r="AT287" i="1"/>
  <c r="AU287" i="1"/>
  <c r="AV287" i="1"/>
  <c r="AT288" i="1"/>
  <c r="AU288" i="1"/>
  <c r="AV288" i="1"/>
  <c r="AT289" i="1"/>
  <c r="AU289" i="1"/>
  <c r="AV289" i="1"/>
  <c r="AT290" i="1"/>
  <c r="AU290" i="1"/>
  <c r="AV290" i="1"/>
  <c r="AT291" i="1"/>
  <c r="AU291" i="1"/>
  <c r="AV291" i="1"/>
  <c r="AT292" i="1"/>
  <c r="AU292" i="1"/>
  <c r="AV292" i="1"/>
  <c r="AT293" i="1"/>
  <c r="AU293" i="1"/>
  <c r="AV293" i="1"/>
  <c r="AT294" i="1"/>
  <c r="AU294" i="1"/>
  <c r="AV294" i="1"/>
  <c r="AT295" i="1"/>
  <c r="AU295" i="1"/>
  <c r="AV295" i="1"/>
  <c r="AT296" i="1"/>
  <c r="AU296" i="1"/>
  <c r="AV296" i="1"/>
  <c r="AT297" i="1"/>
  <c r="AU297" i="1"/>
  <c r="AV297" i="1"/>
  <c r="AT298" i="1"/>
  <c r="AU298" i="1"/>
  <c r="AV298" i="1"/>
  <c r="AT299" i="1"/>
  <c r="AU299" i="1"/>
  <c r="AV299" i="1"/>
  <c r="AT300" i="1"/>
  <c r="AU300" i="1"/>
  <c r="AV300" i="1"/>
  <c r="AT301" i="1"/>
  <c r="AU301" i="1"/>
  <c r="AV301" i="1"/>
  <c r="AT302" i="1"/>
  <c r="AU302" i="1"/>
  <c r="AV302" i="1"/>
  <c r="AT303" i="1"/>
  <c r="AU303" i="1"/>
  <c r="AV303" i="1"/>
  <c r="AT304" i="1"/>
  <c r="AU304" i="1"/>
  <c r="AV304" i="1"/>
  <c r="AT305" i="1"/>
  <c r="AU305" i="1"/>
  <c r="AV305" i="1"/>
  <c r="AT306" i="1"/>
  <c r="AU306" i="1"/>
  <c r="AV306" i="1"/>
  <c r="AT307" i="1"/>
  <c r="AU307" i="1"/>
  <c r="AV307" i="1"/>
  <c r="AT308" i="1"/>
  <c r="AU308" i="1"/>
  <c r="AV308" i="1"/>
  <c r="AT309" i="1"/>
  <c r="AU309" i="1"/>
  <c r="AV309" i="1"/>
  <c r="AT310" i="1"/>
  <c r="AU310" i="1"/>
  <c r="AV310" i="1"/>
  <c r="AT311" i="1"/>
  <c r="AU311" i="1"/>
  <c r="AV311" i="1"/>
  <c r="AT312" i="1"/>
  <c r="AU312" i="1"/>
  <c r="AV312" i="1"/>
  <c r="AT313" i="1"/>
  <c r="AU313" i="1"/>
  <c r="AV313" i="1"/>
  <c r="AT314" i="1"/>
  <c r="AU314" i="1"/>
  <c r="AV314" i="1"/>
  <c r="AT315" i="1"/>
  <c r="AU315" i="1"/>
  <c r="AV315" i="1"/>
  <c r="AT316" i="1"/>
  <c r="AU316" i="1"/>
  <c r="AV316" i="1"/>
  <c r="AT317" i="1"/>
  <c r="AU317" i="1"/>
  <c r="AV317" i="1"/>
  <c r="AT318" i="1"/>
  <c r="AU318" i="1"/>
  <c r="AV318" i="1"/>
  <c r="AT319" i="1"/>
  <c r="AU319" i="1"/>
  <c r="AV319" i="1"/>
  <c r="AT320" i="1"/>
  <c r="AU320" i="1"/>
  <c r="AV320" i="1"/>
  <c r="AT321" i="1"/>
  <c r="AU321" i="1"/>
  <c r="AV321" i="1"/>
  <c r="AT322" i="1"/>
  <c r="AU322" i="1"/>
  <c r="AV322" i="1"/>
  <c r="AT323" i="1"/>
  <c r="AU323" i="1"/>
  <c r="AV323" i="1"/>
  <c r="AT324" i="1"/>
  <c r="AU324" i="1"/>
  <c r="AV324" i="1"/>
  <c r="AT325" i="1"/>
  <c r="AU325" i="1"/>
  <c r="AV325" i="1"/>
  <c r="AT326" i="1"/>
  <c r="AU326" i="1"/>
  <c r="AV326" i="1"/>
  <c r="AT327" i="1"/>
  <c r="AU327" i="1"/>
  <c r="AV327" i="1"/>
  <c r="AT328" i="1"/>
  <c r="AU328" i="1"/>
  <c r="AV328" i="1"/>
  <c r="AT329" i="1"/>
  <c r="AU329" i="1"/>
  <c r="AV329" i="1"/>
  <c r="AT330" i="1"/>
  <c r="AU330" i="1"/>
  <c r="AV330" i="1"/>
  <c r="AT331" i="1"/>
  <c r="AU331" i="1"/>
  <c r="AV331" i="1"/>
  <c r="AT332" i="1"/>
  <c r="AU332" i="1"/>
  <c r="AV332" i="1"/>
  <c r="AT333" i="1"/>
  <c r="AU333" i="1"/>
  <c r="AV333" i="1"/>
  <c r="AT334" i="1"/>
  <c r="AU334" i="1"/>
  <c r="AV334" i="1"/>
  <c r="AT335" i="1"/>
  <c r="AU335" i="1"/>
  <c r="AV335" i="1"/>
  <c r="AT336" i="1"/>
  <c r="AU336" i="1"/>
  <c r="AV336" i="1"/>
  <c r="AT337" i="1"/>
  <c r="AU337" i="1"/>
  <c r="AV337" i="1"/>
  <c r="AT338" i="1"/>
  <c r="AU338" i="1"/>
  <c r="AV338" i="1"/>
  <c r="AT339" i="1"/>
  <c r="AU339" i="1"/>
  <c r="AV339" i="1"/>
  <c r="AT340" i="1"/>
  <c r="AU340" i="1"/>
  <c r="AV340" i="1"/>
  <c r="AT341" i="1"/>
  <c r="AU341" i="1"/>
  <c r="AV341" i="1"/>
  <c r="AT342" i="1"/>
  <c r="AU342" i="1"/>
  <c r="AV342" i="1"/>
  <c r="AT343" i="1"/>
  <c r="AU343" i="1"/>
  <c r="AV343" i="1"/>
  <c r="AT344" i="1"/>
  <c r="AU344" i="1"/>
  <c r="AV344" i="1"/>
  <c r="AT345" i="1"/>
  <c r="AU345" i="1"/>
  <c r="AV345" i="1"/>
  <c r="AT346" i="1"/>
  <c r="AU346" i="1"/>
  <c r="AV346" i="1"/>
  <c r="AT347" i="1"/>
  <c r="AU347" i="1"/>
  <c r="AV347" i="1"/>
  <c r="AT348" i="1"/>
  <c r="AU348" i="1"/>
  <c r="AV348" i="1"/>
  <c r="AT349" i="1"/>
  <c r="AU349" i="1"/>
  <c r="AV349" i="1"/>
  <c r="AT350" i="1"/>
  <c r="AU350" i="1"/>
  <c r="AV350" i="1"/>
  <c r="AT351" i="1"/>
  <c r="AU351" i="1"/>
  <c r="AV351" i="1"/>
  <c r="AT352" i="1"/>
  <c r="AU352" i="1"/>
  <c r="AV352" i="1"/>
  <c r="AT353" i="1"/>
  <c r="AU353" i="1"/>
  <c r="AV353" i="1"/>
  <c r="AT354" i="1"/>
  <c r="AU354" i="1"/>
  <c r="AV354" i="1"/>
  <c r="AT355" i="1"/>
  <c r="AU355" i="1"/>
  <c r="AV355" i="1"/>
  <c r="AT356" i="1"/>
  <c r="AU356" i="1"/>
  <c r="AV356" i="1"/>
  <c r="AT357" i="1"/>
  <c r="AU357" i="1"/>
  <c r="AV357" i="1"/>
  <c r="AT358" i="1"/>
  <c r="AU358" i="1"/>
  <c r="AV358" i="1"/>
  <c r="AT359" i="1"/>
  <c r="AU359" i="1"/>
  <c r="AV359" i="1"/>
  <c r="AT360" i="1"/>
  <c r="AU360" i="1"/>
  <c r="AV360" i="1"/>
  <c r="AT361" i="1"/>
  <c r="AU361" i="1"/>
  <c r="AV361" i="1"/>
  <c r="AT362" i="1"/>
  <c r="AU362" i="1"/>
  <c r="AV362" i="1"/>
  <c r="AT363" i="1"/>
  <c r="AU363" i="1"/>
  <c r="AV363" i="1"/>
  <c r="AT364" i="1"/>
  <c r="AU364" i="1"/>
  <c r="AV364" i="1"/>
  <c r="AT365" i="1"/>
  <c r="AU365" i="1"/>
  <c r="AV365" i="1"/>
  <c r="AT366" i="1"/>
  <c r="AU366" i="1"/>
  <c r="AV366" i="1"/>
  <c r="AT367" i="1"/>
  <c r="AU367" i="1"/>
  <c r="AV367" i="1"/>
  <c r="AT368" i="1"/>
  <c r="AU368" i="1"/>
  <c r="AV368" i="1"/>
  <c r="AT369" i="1"/>
  <c r="AU369" i="1"/>
  <c r="AV369" i="1"/>
  <c r="AT370" i="1"/>
  <c r="AU370" i="1"/>
  <c r="AV370" i="1"/>
  <c r="AT371" i="1"/>
  <c r="AU371" i="1"/>
  <c r="AV371" i="1"/>
  <c r="AT372" i="1"/>
  <c r="AU372" i="1"/>
  <c r="AV372" i="1"/>
  <c r="AT373" i="1"/>
  <c r="AU373" i="1"/>
  <c r="AV373" i="1"/>
  <c r="AT374" i="1"/>
  <c r="AU374" i="1"/>
  <c r="AV374" i="1"/>
  <c r="AT375" i="1"/>
  <c r="AU375" i="1"/>
  <c r="AV375" i="1"/>
  <c r="AT376" i="1"/>
  <c r="AU376" i="1"/>
  <c r="AV376" i="1"/>
  <c r="AT377" i="1"/>
  <c r="AU377" i="1"/>
  <c r="AV377" i="1"/>
  <c r="AT378" i="1"/>
  <c r="AU378" i="1"/>
  <c r="AV378" i="1"/>
  <c r="AT379" i="1"/>
  <c r="AU379" i="1"/>
  <c r="AV379" i="1"/>
  <c r="AT380" i="1"/>
  <c r="AU380" i="1"/>
  <c r="AV380" i="1"/>
  <c r="AT381" i="1"/>
  <c r="AU381" i="1"/>
  <c r="AV381" i="1"/>
  <c r="AT382" i="1"/>
  <c r="AU382" i="1"/>
  <c r="AV382" i="1"/>
  <c r="AT383" i="1"/>
  <c r="AU383" i="1"/>
  <c r="AV383" i="1"/>
  <c r="AT384" i="1"/>
  <c r="AU384" i="1"/>
  <c r="AV384" i="1"/>
  <c r="AT385" i="1"/>
  <c r="AU385" i="1"/>
  <c r="AV385" i="1"/>
  <c r="AT386" i="1"/>
  <c r="AU386" i="1"/>
  <c r="AV386" i="1"/>
  <c r="AT387" i="1"/>
  <c r="AU387" i="1"/>
  <c r="AV387" i="1"/>
  <c r="AT388" i="1"/>
  <c r="AU388" i="1"/>
  <c r="AV388" i="1"/>
  <c r="AT389" i="1"/>
  <c r="AU389" i="1"/>
  <c r="AV389" i="1"/>
  <c r="AT390" i="1"/>
  <c r="AU390" i="1"/>
  <c r="AV390" i="1"/>
  <c r="AT391" i="1"/>
  <c r="AU391" i="1"/>
  <c r="AV391" i="1"/>
  <c r="AT392" i="1"/>
  <c r="AU392" i="1"/>
  <c r="AV392" i="1"/>
  <c r="AT393" i="1"/>
  <c r="AU393" i="1"/>
  <c r="AV393" i="1"/>
  <c r="AT394" i="1"/>
  <c r="AU394" i="1"/>
  <c r="AV394" i="1"/>
  <c r="AT395" i="1"/>
  <c r="AU395" i="1"/>
  <c r="AV395" i="1"/>
  <c r="AT396" i="1"/>
  <c r="AU396" i="1"/>
  <c r="AV396" i="1"/>
  <c r="AT397" i="1"/>
  <c r="AU397" i="1"/>
  <c r="AV397" i="1"/>
  <c r="AT398" i="1"/>
  <c r="AU398" i="1"/>
  <c r="AV398" i="1"/>
  <c r="AT399" i="1"/>
  <c r="AU399" i="1"/>
  <c r="AV399" i="1"/>
  <c r="AT400" i="1"/>
  <c r="AU400" i="1"/>
  <c r="AV400" i="1"/>
  <c r="AT401" i="1"/>
  <c r="AU401" i="1"/>
  <c r="AV401" i="1"/>
  <c r="AT402" i="1"/>
  <c r="AU402" i="1"/>
  <c r="AV402" i="1"/>
  <c r="AT403" i="1"/>
  <c r="AU403" i="1"/>
  <c r="AV403" i="1"/>
  <c r="AT404" i="1"/>
  <c r="AU404" i="1"/>
  <c r="AV404" i="1"/>
  <c r="AT405" i="1"/>
  <c r="AU405" i="1"/>
  <c r="AV405" i="1"/>
  <c r="AT406" i="1"/>
  <c r="AU406" i="1"/>
  <c r="AV406" i="1"/>
  <c r="AT407" i="1"/>
  <c r="AU407" i="1"/>
  <c r="AV407" i="1"/>
  <c r="AT408" i="1"/>
  <c r="AU408" i="1"/>
  <c r="AV408" i="1"/>
  <c r="AT409" i="1"/>
  <c r="AU409" i="1"/>
  <c r="AV409" i="1"/>
  <c r="AT410" i="1"/>
  <c r="AU410" i="1"/>
  <c r="AV410" i="1"/>
  <c r="AT411" i="1"/>
  <c r="AU411" i="1"/>
  <c r="AV411" i="1"/>
  <c r="AT412" i="1"/>
  <c r="AU412" i="1"/>
  <c r="AV412" i="1"/>
  <c r="AT413" i="1"/>
  <c r="AU413" i="1"/>
  <c r="AV413" i="1"/>
  <c r="AT414" i="1"/>
  <c r="AU414" i="1"/>
  <c r="AV414" i="1"/>
  <c r="AT415" i="1"/>
  <c r="AU415" i="1"/>
  <c r="AV415" i="1"/>
  <c r="AT416" i="1"/>
  <c r="AU416" i="1"/>
  <c r="AV416" i="1"/>
  <c r="AT417" i="1"/>
  <c r="AU417" i="1"/>
  <c r="AV417" i="1"/>
  <c r="AT418" i="1"/>
  <c r="AU418" i="1"/>
  <c r="AV418" i="1"/>
  <c r="AT419" i="1"/>
  <c r="AU419" i="1"/>
  <c r="AV419" i="1"/>
  <c r="AT420" i="1"/>
  <c r="AU420" i="1"/>
  <c r="AV420" i="1"/>
  <c r="AT421" i="1"/>
  <c r="AU421" i="1"/>
  <c r="AV421" i="1"/>
  <c r="AT422" i="1"/>
  <c r="AU422" i="1"/>
  <c r="AV422" i="1"/>
  <c r="AT423" i="1"/>
  <c r="AU423" i="1"/>
  <c r="AV423" i="1"/>
  <c r="AT424" i="1"/>
  <c r="AU424" i="1"/>
  <c r="AV424" i="1"/>
  <c r="AT425" i="1"/>
  <c r="AU425" i="1"/>
  <c r="AV425" i="1"/>
  <c r="AT426" i="1"/>
  <c r="AU426" i="1"/>
  <c r="AV426" i="1"/>
  <c r="AT427" i="1"/>
  <c r="AU427" i="1"/>
  <c r="AV427" i="1"/>
  <c r="AT428" i="1"/>
  <c r="AU428" i="1"/>
  <c r="AV428" i="1"/>
  <c r="AT429" i="1"/>
  <c r="AU429" i="1"/>
  <c r="AV429" i="1"/>
  <c r="AT430" i="1"/>
  <c r="AU430" i="1"/>
  <c r="AV430" i="1"/>
  <c r="AT431" i="1"/>
  <c r="AU431" i="1"/>
  <c r="AV431" i="1"/>
  <c r="AT432" i="1"/>
  <c r="AU432" i="1"/>
  <c r="AV432" i="1"/>
  <c r="AT433" i="1"/>
  <c r="AU433" i="1"/>
  <c r="AV433" i="1"/>
  <c r="AT434" i="1"/>
  <c r="AU434" i="1"/>
  <c r="AV434" i="1"/>
  <c r="AT435" i="1"/>
  <c r="AU435" i="1"/>
  <c r="AV435" i="1"/>
  <c r="AT436" i="1"/>
  <c r="AU436" i="1"/>
  <c r="AV436" i="1"/>
  <c r="AT437" i="1"/>
  <c r="AU437" i="1"/>
  <c r="AV437" i="1"/>
  <c r="AT438" i="1"/>
  <c r="AU438" i="1"/>
  <c r="AV438" i="1"/>
  <c r="AT439" i="1"/>
  <c r="AU439" i="1"/>
  <c r="AV439" i="1"/>
  <c r="AT440" i="1"/>
  <c r="AU440" i="1"/>
  <c r="AV440" i="1"/>
  <c r="AT441" i="1"/>
  <c r="AU441" i="1"/>
  <c r="AV441" i="1"/>
  <c r="AT442" i="1"/>
  <c r="AU442" i="1"/>
  <c r="AV442" i="1"/>
  <c r="AT443" i="1"/>
  <c r="AU443" i="1"/>
  <c r="AV443" i="1"/>
  <c r="AT444" i="1"/>
  <c r="AU444" i="1"/>
  <c r="AV444" i="1"/>
  <c r="AT445" i="1"/>
  <c r="AU445" i="1"/>
  <c r="AV445" i="1"/>
  <c r="AT446" i="1"/>
  <c r="AU446" i="1"/>
  <c r="AV446" i="1"/>
  <c r="AT447" i="1"/>
  <c r="AU447" i="1"/>
  <c r="AV447" i="1"/>
  <c r="AT448" i="1"/>
  <c r="AU448" i="1"/>
  <c r="AV448" i="1"/>
  <c r="AT449" i="1"/>
  <c r="AU449" i="1"/>
  <c r="AV449" i="1"/>
  <c r="AT450" i="1"/>
  <c r="AU450" i="1"/>
  <c r="AV450" i="1"/>
  <c r="AT451" i="1"/>
  <c r="AU451" i="1"/>
  <c r="AV451" i="1"/>
  <c r="AT452" i="1"/>
  <c r="AU452" i="1"/>
  <c r="AV452" i="1"/>
  <c r="AT453" i="1"/>
  <c r="AU453" i="1"/>
  <c r="AV453" i="1"/>
  <c r="AT454" i="1"/>
  <c r="AU454" i="1"/>
  <c r="AV454" i="1"/>
  <c r="AT455" i="1"/>
  <c r="AU455" i="1"/>
  <c r="AV455" i="1"/>
  <c r="AT456" i="1"/>
  <c r="AU456" i="1"/>
  <c r="AV456" i="1"/>
  <c r="AT457" i="1"/>
  <c r="AU457" i="1"/>
  <c r="AV457" i="1"/>
  <c r="AT458" i="1"/>
  <c r="AU458" i="1"/>
  <c r="AV458" i="1"/>
  <c r="AT459" i="1"/>
  <c r="AU459" i="1"/>
  <c r="AV459" i="1"/>
  <c r="AT460" i="1"/>
  <c r="AU460" i="1"/>
  <c r="AV460" i="1"/>
  <c r="AT461" i="1"/>
  <c r="AU461" i="1"/>
  <c r="AV461" i="1"/>
  <c r="AT462" i="1"/>
  <c r="AU462" i="1"/>
  <c r="AV462" i="1"/>
  <c r="AT463" i="1"/>
  <c r="AU463" i="1"/>
  <c r="AV463" i="1"/>
  <c r="AT464" i="1"/>
  <c r="AU464" i="1"/>
  <c r="AV464" i="1"/>
  <c r="AT465" i="1"/>
  <c r="AU465" i="1"/>
  <c r="AV465" i="1"/>
  <c r="AT466" i="1"/>
  <c r="AU466" i="1"/>
  <c r="AV466" i="1"/>
  <c r="AT467" i="1"/>
  <c r="AU467" i="1"/>
  <c r="AV467" i="1"/>
  <c r="AT468" i="1"/>
  <c r="AU468" i="1"/>
  <c r="AV468" i="1"/>
  <c r="AT469" i="1"/>
  <c r="AU469" i="1"/>
  <c r="AV469" i="1"/>
  <c r="AT470" i="1"/>
  <c r="AU470" i="1"/>
  <c r="AV470" i="1"/>
  <c r="AT471" i="1"/>
  <c r="AU471" i="1"/>
  <c r="AV471" i="1"/>
  <c r="AT472" i="1"/>
  <c r="AU472" i="1"/>
  <c r="AV472" i="1"/>
  <c r="AT473" i="1"/>
  <c r="AU473" i="1"/>
  <c r="AV473" i="1"/>
  <c r="AT474" i="1"/>
  <c r="AU474" i="1"/>
  <c r="AV474" i="1"/>
  <c r="AT475" i="1"/>
  <c r="AU475" i="1"/>
  <c r="AV475" i="1"/>
  <c r="AT476" i="1"/>
  <c r="AU476" i="1"/>
  <c r="AV476" i="1"/>
  <c r="AT477" i="1"/>
  <c r="AU477" i="1"/>
  <c r="AV477" i="1"/>
  <c r="AT478" i="1"/>
  <c r="AU478" i="1"/>
  <c r="AV478" i="1"/>
  <c r="AT479" i="1"/>
  <c r="AU479" i="1"/>
  <c r="AV479" i="1"/>
  <c r="AT480" i="1"/>
  <c r="AU480" i="1"/>
  <c r="AV480" i="1"/>
  <c r="AT481" i="1"/>
  <c r="AU481" i="1"/>
  <c r="AV481" i="1"/>
  <c r="AT482" i="1"/>
  <c r="AU482" i="1"/>
  <c r="AV482" i="1"/>
  <c r="AT483" i="1"/>
  <c r="AU483" i="1"/>
  <c r="AV483" i="1"/>
  <c r="AT484" i="1"/>
  <c r="AU484" i="1"/>
  <c r="AV484" i="1"/>
  <c r="AT485" i="1"/>
  <c r="AU485" i="1"/>
  <c r="AV485" i="1"/>
  <c r="AT486" i="1"/>
  <c r="AU486" i="1"/>
  <c r="AV486" i="1"/>
  <c r="AT487" i="1"/>
  <c r="AU487" i="1"/>
  <c r="AV487" i="1"/>
  <c r="AT488" i="1"/>
  <c r="AU488" i="1"/>
  <c r="AV488" i="1"/>
  <c r="AT489" i="1"/>
  <c r="AU489" i="1"/>
  <c r="AV489" i="1"/>
  <c r="AT490" i="1"/>
  <c r="AU490" i="1"/>
  <c r="AV490" i="1"/>
  <c r="AT491" i="1"/>
  <c r="AU491" i="1"/>
  <c r="AV491" i="1"/>
  <c r="AT492" i="1"/>
  <c r="AU492" i="1"/>
  <c r="AV492" i="1"/>
  <c r="AT493" i="1"/>
  <c r="AU493" i="1"/>
  <c r="AV493" i="1"/>
  <c r="AT494" i="1"/>
  <c r="AU494" i="1"/>
  <c r="AV494" i="1"/>
  <c r="AT495" i="1"/>
  <c r="AU495" i="1"/>
  <c r="AV495" i="1"/>
  <c r="AT496" i="1"/>
  <c r="AU496" i="1"/>
  <c r="AV496" i="1"/>
  <c r="AT497" i="1"/>
  <c r="AU497" i="1"/>
  <c r="AV497" i="1"/>
  <c r="AT498" i="1"/>
  <c r="AU498" i="1"/>
  <c r="AV498" i="1"/>
  <c r="AT499" i="1"/>
  <c r="AU499" i="1"/>
  <c r="AV499" i="1"/>
  <c r="AT500" i="1"/>
  <c r="AU500" i="1"/>
  <c r="AV500" i="1"/>
  <c r="AT501" i="1"/>
  <c r="AU501" i="1"/>
  <c r="AV501" i="1"/>
  <c r="AT502" i="1"/>
  <c r="AU502" i="1"/>
  <c r="AV502" i="1"/>
  <c r="AT503" i="1"/>
  <c r="AU503" i="1"/>
  <c r="AV503" i="1"/>
  <c r="AT504" i="1"/>
  <c r="AU504" i="1"/>
  <c r="AV504" i="1"/>
  <c r="AT505" i="1"/>
  <c r="AU505" i="1"/>
  <c r="AV505" i="1"/>
  <c r="AT506" i="1"/>
  <c r="AU506" i="1"/>
  <c r="AV506" i="1"/>
  <c r="AT507" i="1"/>
  <c r="AU507" i="1"/>
  <c r="AV507" i="1"/>
  <c r="AT508" i="1"/>
  <c r="AU508" i="1"/>
  <c r="AV508" i="1"/>
  <c r="AT509" i="1"/>
  <c r="AU509" i="1"/>
  <c r="AV509" i="1"/>
  <c r="AT510" i="1"/>
  <c r="AU510" i="1"/>
  <c r="AV510" i="1"/>
  <c r="AT511" i="1"/>
  <c r="AU511" i="1"/>
  <c r="AV511" i="1"/>
  <c r="AT512" i="1"/>
  <c r="AU512" i="1"/>
  <c r="AV512" i="1"/>
  <c r="AT513" i="1"/>
  <c r="AU513" i="1"/>
  <c r="AV513" i="1"/>
  <c r="AT514" i="1"/>
  <c r="AU514" i="1"/>
  <c r="AV514" i="1"/>
  <c r="AT515" i="1"/>
  <c r="AU515" i="1"/>
  <c r="AV515" i="1"/>
  <c r="AT516" i="1"/>
  <c r="AU516" i="1"/>
  <c r="AV516" i="1"/>
  <c r="AT517" i="1"/>
  <c r="AU517" i="1"/>
  <c r="AV517" i="1"/>
  <c r="AT518" i="1"/>
  <c r="AU518" i="1"/>
  <c r="AV518" i="1"/>
  <c r="AT519" i="1"/>
  <c r="AU519" i="1"/>
  <c r="AV519" i="1"/>
  <c r="AT520" i="1"/>
  <c r="AU520" i="1"/>
  <c r="AV520" i="1"/>
  <c r="AT521" i="1"/>
  <c r="AU521" i="1"/>
  <c r="AV521" i="1"/>
  <c r="AT522" i="1"/>
  <c r="AU522" i="1"/>
  <c r="AV522" i="1"/>
  <c r="AT523" i="1"/>
  <c r="AU523" i="1"/>
  <c r="AV523" i="1"/>
  <c r="AT524" i="1"/>
  <c r="AU524" i="1"/>
  <c r="AV524" i="1"/>
  <c r="AT525" i="1"/>
  <c r="AU525" i="1"/>
  <c r="AV525" i="1"/>
  <c r="AT526" i="1"/>
  <c r="AU526" i="1"/>
  <c r="AV526" i="1"/>
  <c r="AT527" i="1"/>
  <c r="AU527" i="1"/>
  <c r="AV527" i="1"/>
  <c r="AT528" i="1"/>
  <c r="AU528" i="1"/>
  <c r="AV528" i="1"/>
  <c r="AT529" i="1"/>
  <c r="AU529" i="1"/>
  <c r="AV529" i="1"/>
  <c r="AT530" i="1"/>
  <c r="AU530" i="1"/>
  <c r="AV530" i="1"/>
  <c r="AT531" i="1"/>
  <c r="AU531" i="1"/>
  <c r="AV531" i="1"/>
  <c r="AT532" i="1"/>
  <c r="AU532" i="1"/>
  <c r="AV532" i="1"/>
  <c r="AT533" i="1"/>
  <c r="AU533" i="1"/>
  <c r="AV533" i="1"/>
  <c r="AT534" i="1"/>
  <c r="AU534" i="1"/>
  <c r="AV534" i="1"/>
  <c r="AT535" i="1"/>
  <c r="AU535" i="1"/>
  <c r="AV535" i="1"/>
  <c r="AT536" i="1"/>
  <c r="AU536" i="1"/>
  <c r="AV536" i="1"/>
  <c r="AT537" i="1"/>
  <c r="AU537" i="1"/>
  <c r="AV537" i="1"/>
  <c r="AT538" i="1"/>
  <c r="AU538" i="1"/>
  <c r="AV538" i="1"/>
  <c r="AT539" i="1"/>
  <c r="AU539" i="1"/>
  <c r="AV539" i="1"/>
  <c r="AT540" i="1"/>
  <c r="AU540" i="1"/>
  <c r="AV540" i="1"/>
  <c r="AT541" i="1"/>
  <c r="AU541" i="1"/>
  <c r="AV541" i="1"/>
  <c r="AT542" i="1"/>
  <c r="AU542" i="1"/>
  <c r="AV542" i="1"/>
  <c r="AT543" i="1"/>
  <c r="AU543" i="1"/>
  <c r="AV543" i="1"/>
  <c r="AT544" i="1"/>
  <c r="AU544" i="1"/>
  <c r="AV544" i="1"/>
  <c r="AT545" i="1"/>
  <c r="AU545" i="1"/>
  <c r="AV545" i="1"/>
  <c r="AT546" i="1"/>
  <c r="AU546" i="1"/>
  <c r="AV546" i="1"/>
  <c r="AT547" i="1"/>
  <c r="AU547" i="1"/>
  <c r="AV547" i="1"/>
  <c r="AT548" i="1"/>
  <c r="AU548" i="1"/>
  <c r="AV548" i="1"/>
  <c r="AT549" i="1"/>
  <c r="AU549" i="1"/>
  <c r="AV549" i="1"/>
  <c r="AT550" i="1"/>
  <c r="AU550" i="1"/>
  <c r="AV550" i="1"/>
  <c r="AT551" i="1"/>
  <c r="AU551" i="1"/>
  <c r="AV551" i="1"/>
  <c r="AT552" i="1"/>
  <c r="AU552" i="1"/>
  <c r="AV552" i="1"/>
  <c r="AT553" i="1"/>
  <c r="AU553" i="1"/>
  <c r="AV553" i="1"/>
  <c r="AT554" i="1"/>
  <c r="AU554" i="1"/>
  <c r="AV554" i="1"/>
  <c r="AT555" i="1"/>
  <c r="AU555" i="1"/>
  <c r="AV555" i="1"/>
  <c r="AT556" i="1"/>
  <c r="AU556" i="1"/>
  <c r="AV556" i="1"/>
  <c r="AT557" i="1"/>
  <c r="AU557" i="1"/>
  <c r="AV557" i="1"/>
  <c r="AT558" i="1"/>
  <c r="AU558" i="1"/>
  <c r="AV558" i="1"/>
  <c r="AT559" i="1"/>
  <c r="AU559" i="1"/>
  <c r="AV559" i="1"/>
  <c r="AT560" i="1"/>
  <c r="AU560" i="1"/>
  <c r="AV560" i="1"/>
  <c r="AT561" i="1"/>
  <c r="AU561" i="1"/>
  <c r="AV561" i="1"/>
  <c r="AT562" i="1"/>
  <c r="AU562" i="1"/>
  <c r="AV562" i="1"/>
  <c r="AT563" i="1"/>
  <c r="AU563" i="1"/>
  <c r="AV563" i="1"/>
  <c r="AT564" i="1"/>
  <c r="AU564" i="1"/>
  <c r="AV564" i="1"/>
  <c r="AT565" i="1"/>
  <c r="AU565" i="1"/>
  <c r="AV565" i="1"/>
  <c r="AT566" i="1"/>
  <c r="AU566" i="1"/>
  <c r="AV566" i="1"/>
  <c r="AT567" i="1"/>
  <c r="AU567" i="1"/>
  <c r="AV567" i="1"/>
  <c r="AT568" i="1"/>
  <c r="AU568" i="1"/>
  <c r="AV568" i="1"/>
  <c r="AT569" i="1"/>
  <c r="AU569" i="1"/>
  <c r="AV569" i="1"/>
  <c r="AT570" i="1"/>
  <c r="AU570" i="1"/>
  <c r="AV570" i="1"/>
  <c r="AT571" i="1"/>
  <c r="AU571" i="1"/>
  <c r="AV571" i="1"/>
  <c r="AT572" i="1"/>
  <c r="AU572" i="1"/>
  <c r="AV572" i="1"/>
  <c r="AT573" i="1"/>
  <c r="AU573" i="1"/>
  <c r="AV573" i="1"/>
  <c r="AT574" i="1"/>
  <c r="AU574" i="1"/>
  <c r="AV574" i="1"/>
  <c r="AT575" i="1"/>
  <c r="AU575" i="1"/>
  <c r="AV575" i="1"/>
  <c r="AT576" i="1"/>
  <c r="AU576" i="1"/>
  <c r="AV576" i="1"/>
  <c r="AT577" i="1"/>
  <c r="AU577" i="1"/>
  <c r="AV577" i="1"/>
  <c r="AT578" i="1"/>
  <c r="AU578" i="1"/>
  <c r="AV578" i="1"/>
  <c r="AT579" i="1"/>
  <c r="AU579" i="1"/>
  <c r="AV579" i="1"/>
  <c r="AT580" i="1"/>
  <c r="AU580" i="1"/>
  <c r="AV580" i="1"/>
  <c r="AT581" i="1"/>
  <c r="AU581" i="1"/>
  <c r="AV581" i="1"/>
  <c r="AT582" i="1"/>
  <c r="AU582" i="1"/>
  <c r="AV582" i="1"/>
  <c r="AT583" i="1"/>
  <c r="AU583" i="1"/>
  <c r="AV583" i="1"/>
  <c r="AT584" i="1"/>
  <c r="AU584" i="1"/>
  <c r="AV584" i="1"/>
  <c r="AT585" i="1"/>
  <c r="AU585" i="1"/>
  <c r="AV585" i="1"/>
  <c r="AT586" i="1"/>
  <c r="AU586" i="1"/>
  <c r="AV586" i="1"/>
  <c r="AT587" i="1"/>
  <c r="AU587" i="1"/>
  <c r="AV587" i="1"/>
  <c r="AT588" i="1"/>
  <c r="AU588" i="1"/>
  <c r="AV588" i="1"/>
  <c r="AT589" i="1"/>
  <c r="AU589" i="1"/>
  <c r="AV589" i="1"/>
  <c r="AT590" i="1"/>
  <c r="AU590" i="1"/>
  <c r="AV590" i="1"/>
  <c r="AT591" i="1"/>
  <c r="AU591" i="1"/>
  <c r="AV591" i="1"/>
  <c r="AT592" i="1"/>
  <c r="AU592" i="1"/>
  <c r="AV592" i="1"/>
  <c r="AT593" i="1"/>
  <c r="AU593" i="1"/>
  <c r="AV593" i="1"/>
  <c r="AT594" i="1"/>
  <c r="AU594" i="1"/>
  <c r="AV594" i="1"/>
  <c r="AT595" i="1"/>
  <c r="AU595" i="1"/>
  <c r="AV595" i="1"/>
  <c r="AT596" i="1"/>
  <c r="AU596" i="1"/>
  <c r="AV596" i="1"/>
  <c r="AT597" i="1"/>
  <c r="AU597" i="1"/>
  <c r="AV597" i="1"/>
  <c r="AT598" i="1"/>
  <c r="AU598" i="1"/>
  <c r="AV598" i="1"/>
  <c r="AT599" i="1"/>
  <c r="AU599" i="1"/>
  <c r="AV599" i="1"/>
  <c r="AT600" i="1"/>
  <c r="AU600" i="1"/>
  <c r="AV600" i="1"/>
  <c r="AT601" i="1"/>
  <c r="AU601" i="1"/>
  <c r="AV601" i="1"/>
  <c r="AT602" i="1"/>
  <c r="AU602" i="1"/>
  <c r="AV602" i="1"/>
  <c r="AT603" i="1"/>
  <c r="AU603" i="1"/>
  <c r="AV603" i="1"/>
  <c r="AT604" i="1"/>
  <c r="AU604" i="1"/>
  <c r="AV604" i="1"/>
  <c r="AT605" i="1"/>
  <c r="AU605" i="1"/>
  <c r="AV605" i="1"/>
  <c r="AT606" i="1"/>
  <c r="AU606" i="1"/>
  <c r="AV606" i="1"/>
  <c r="AT607" i="1"/>
  <c r="AU607" i="1"/>
  <c r="AV607" i="1"/>
  <c r="AT608" i="1"/>
  <c r="AU608" i="1"/>
  <c r="AV608" i="1"/>
  <c r="AT609" i="1"/>
  <c r="AU609" i="1"/>
  <c r="AV609" i="1"/>
  <c r="AT610" i="1"/>
  <c r="AU610" i="1"/>
  <c r="AV610" i="1"/>
  <c r="AT611" i="1"/>
  <c r="AU611" i="1"/>
  <c r="AV611" i="1"/>
  <c r="AT612" i="1"/>
  <c r="AU612" i="1"/>
  <c r="AV612" i="1"/>
  <c r="AT613" i="1"/>
  <c r="AU613" i="1"/>
  <c r="AV613" i="1"/>
  <c r="AT614" i="1"/>
  <c r="AU614" i="1"/>
  <c r="AV614" i="1"/>
  <c r="AT615" i="1"/>
  <c r="AU615" i="1"/>
  <c r="AV615" i="1"/>
  <c r="P25" i="2" l="1"/>
  <c r="P26" i="2"/>
  <c r="P27" i="2"/>
  <c r="P28" i="2"/>
  <c r="P29" i="2"/>
  <c r="P30" i="2"/>
  <c r="P24" i="2"/>
  <c r="E25" i="2"/>
  <c r="E26" i="2"/>
  <c r="E27" i="2"/>
  <c r="E28" i="2"/>
  <c r="E29" i="2"/>
  <c r="E30" i="2"/>
  <c r="E24" i="2"/>
  <c r="K25" i="2"/>
  <c r="K26" i="2"/>
  <c r="K27" i="2"/>
  <c r="K28" i="2"/>
  <c r="K29" i="2"/>
  <c r="K30" i="2"/>
  <c r="K24" i="2"/>
  <c r="O30" i="2"/>
  <c r="N30" i="2"/>
  <c r="M30" i="2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4" i="2"/>
  <c r="N24" i="2"/>
  <c r="M24" i="2"/>
  <c r="J24" i="2"/>
  <c r="I24" i="2"/>
  <c r="H24" i="2"/>
  <c r="G24" i="2"/>
  <c r="F24" i="2"/>
  <c r="D24" i="2"/>
  <c r="C24" i="2"/>
  <c r="B24" i="2"/>
  <c r="P31" i="2" l="1"/>
  <c r="E31" i="2"/>
  <c r="N31" i="2"/>
  <c r="K31" i="2"/>
  <c r="O31" i="2"/>
  <c r="M31" i="2"/>
  <c r="H36" i="2"/>
  <c r="H37" i="2"/>
  <c r="H38" i="2"/>
  <c r="H39" i="2"/>
  <c r="H40" i="2"/>
  <c r="H41" i="2"/>
  <c r="H35" i="2"/>
  <c r="D8" i="2"/>
  <c r="E8" i="2" s="1"/>
  <c r="C8" i="2"/>
  <c r="H42" i="2" l="1"/>
  <c r="G36" i="2" l="1"/>
  <c r="G37" i="2"/>
  <c r="G38" i="2"/>
  <c r="G39" i="2"/>
  <c r="G40" i="2"/>
  <c r="G41" i="2"/>
  <c r="G35" i="2"/>
  <c r="D7" i="2" l="1"/>
  <c r="E7" i="2" s="1"/>
  <c r="C7" i="2"/>
  <c r="C3" i="2"/>
  <c r="C4" i="2"/>
  <c r="C5" i="2"/>
  <c r="C6" i="2"/>
  <c r="F36" i="2" l="1"/>
  <c r="E36" i="2"/>
  <c r="D36" i="2"/>
  <c r="C36" i="2"/>
  <c r="B36" i="2"/>
  <c r="L25" i="2"/>
  <c r="J25" i="2"/>
  <c r="I25" i="2"/>
  <c r="H25" i="2"/>
  <c r="G25" i="2"/>
  <c r="F25" i="2"/>
  <c r="D25" i="2"/>
  <c r="C25" i="2"/>
  <c r="B25" i="2"/>
  <c r="L14" i="2"/>
  <c r="K14" i="2"/>
  <c r="J14" i="2"/>
  <c r="I14" i="2"/>
  <c r="H14" i="2"/>
  <c r="G14" i="2"/>
  <c r="F14" i="2"/>
  <c r="E14" i="2"/>
  <c r="D14" i="2"/>
  <c r="C14" i="2"/>
  <c r="B14" i="2"/>
  <c r="Q25" i="2" l="1"/>
  <c r="I36" i="2"/>
  <c r="M14" i="2"/>
  <c r="F37" i="2"/>
  <c r="F38" i="2"/>
  <c r="F39" i="2"/>
  <c r="F40" i="2"/>
  <c r="F41" i="2"/>
  <c r="E40" i="2"/>
  <c r="E41" i="2"/>
  <c r="E37" i="2"/>
  <c r="E38" i="2"/>
  <c r="E39" i="2"/>
  <c r="D37" i="2"/>
  <c r="D38" i="2"/>
  <c r="D39" i="2"/>
  <c r="D40" i="2"/>
  <c r="D41" i="2"/>
  <c r="C37" i="2"/>
  <c r="C38" i="2"/>
  <c r="C39" i="2"/>
  <c r="C40" i="2"/>
  <c r="C41" i="2"/>
  <c r="B37" i="2"/>
  <c r="I37" i="2" s="1"/>
  <c r="B38" i="2"/>
  <c r="B39" i="2"/>
  <c r="B40" i="2"/>
  <c r="B41" i="2"/>
  <c r="I41" i="2" s="1"/>
  <c r="F35" i="2"/>
  <c r="E35" i="2"/>
  <c r="D35" i="2"/>
  <c r="C35" i="2"/>
  <c r="B35" i="2"/>
  <c r="L26" i="2"/>
  <c r="L27" i="2"/>
  <c r="L28" i="2"/>
  <c r="L29" i="2"/>
  <c r="L30" i="2"/>
  <c r="J26" i="2"/>
  <c r="J27" i="2"/>
  <c r="J28" i="2"/>
  <c r="J29" i="2"/>
  <c r="J30" i="2"/>
  <c r="I30" i="2"/>
  <c r="I26" i="2"/>
  <c r="I27" i="2"/>
  <c r="I28" i="2"/>
  <c r="I29" i="2"/>
  <c r="H26" i="2"/>
  <c r="H27" i="2"/>
  <c r="H28" i="2"/>
  <c r="H29" i="2"/>
  <c r="H30" i="2"/>
  <c r="F26" i="2"/>
  <c r="F27" i="2"/>
  <c r="F28" i="2"/>
  <c r="F29" i="2"/>
  <c r="F30" i="2"/>
  <c r="G26" i="2"/>
  <c r="G27" i="2"/>
  <c r="G28" i="2"/>
  <c r="G29" i="2"/>
  <c r="G30" i="2"/>
  <c r="D30" i="2"/>
  <c r="D26" i="2"/>
  <c r="D27" i="2"/>
  <c r="D28" i="2"/>
  <c r="D29" i="2"/>
  <c r="C26" i="2"/>
  <c r="C27" i="2"/>
  <c r="C28" i="2"/>
  <c r="C29" i="2"/>
  <c r="C30" i="2"/>
  <c r="B26" i="2"/>
  <c r="B27" i="2"/>
  <c r="B28" i="2"/>
  <c r="B29" i="2"/>
  <c r="B30" i="2"/>
  <c r="L24" i="2"/>
  <c r="Q24" i="2" s="1"/>
  <c r="Q28" i="2" l="1"/>
  <c r="I40" i="2"/>
  <c r="Q26" i="2"/>
  <c r="Q30" i="2"/>
  <c r="Q27" i="2"/>
  <c r="Q29" i="2"/>
  <c r="I39" i="2"/>
  <c r="I35" i="2"/>
  <c r="I38" i="2"/>
  <c r="L15" i="2"/>
  <c r="L16" i="2"/>
  <c r="L17" i="2"/>
  <c r="L18" i="2"/>
  <c r="L19" i="2"/>
  <c r="K15" i="2"/>
  <c r="K16" i="2"/>
  <c r="K17" i="2"/>
  <c r="K18" i="2"/>
  <c r="K19" i="2"/>
  <c r="J15" i="2"/>
  <c r="J16" i="2"/>
  <c r="J17" i="2"/>
  <c r="J18" i="2"/>
  <c r="J19" i="2"/>
  <c r="I15" i="2"/>
  <c r="I16" i="2"/>
  <c r="I17" i="2"/>
  <c r="I18" i="2"/>
  <c r="I19" i="2"/>
  <c r="H15" i="2"/>
  <c r="H16" i="2"/>
  <c r="H17" i="2"/>
  <c r="H18" i="2"/>
  <c r="H19" i="2"/>
  <c r="G15" i="2"/>
  <c r="G16" i="2"/>
  <c r="G17" i="2"/>
  <c r="G18" i="2"/>
  <c r="G19" i="2"/>
  <c r="F15" i="2"/>
  <c r="F16" i="2"/>
  <c r="F17" i="2"/>
  <c r="F18" i="2"/>
  <c r="F19" i="2"/>
  <c r="E15" i="2"/>
  <c r="E16" i="2"/>
  <c r="E17" i="2"/>
  <c r="E18" i="2"/>
  <c r="E19" i="2"/>
  <c r="D15" i="2"/>
  <c r="D16" i="2"/>
  <c r="D17" i="2"/>
  <c r="D18" i="2"/>
  <c r="D19" i="2"/>
  <c r="L13" i="2"/>
  <c r="K13" i="2"/>
  <c r="J13" i="2"/>
  <c r="I13" i="2"/>
  <c r="H13" i="2"/>
  <c r="G13" i="2"/>
  <c r="F13" i="2"/>
  <c r="E13" i="2"/>
  <c r="D13" i="2"/>
  <c r="C15" i="2"/>
  <c r="C16" i="2"/>
  <c r="C17" i="2"/>
  <c r="C18" i="2"/>
  <c r="C19" i="2"/>
  <c r="C13" i="2"/>
  <c r="B15" i="2"/>
  <c r="B16" i="2"/>
  <c r="B17" i="2"/>
  <c r="B18" i="2"/>
  <c r="B19" i="2"/>
  <c r="B13" i="2"/>
  <c r="D6" i="2"/>
  <c r="D5" i="2"/>
  <c r="D4" i="2"/>
  <c r="D3" i="2"/>
  <c r="D2" i="2"/>
  <c r="C2" i="2"/>
  <c r="D9" i="2" l="1"/>
  <c r="Q31" i="2"/>
  <c r="I42" i="2"/>
  <c r="G42" i="2"/>
  <c r="C42" i="2"/>
  <c r="D42" i="2"/>
  <c r="E42" i="2"/>
  <c r="F42" i="2"/>
  <c r="B42" i="2"/>
  <c r="C31" i="2"/>
  <c r="D31" i="2"/>
  <c r="F31" i="2"/>
  <c r="G31" i="2"/>
  <c r="H31" i="2"/>
  <c r="I31" i="2"/>
  <c r="J31" i="2"/>
  <c r="L31" i="2"/>
  <c r="B31" i="2"/>
  <c r="M15" i="2"/>
  <c r="M16" i="2"/>
  <c r="M17" i="2"/>
  <c r="M18" i="2"/>
  <c r="M19" i="2"/>
  <c r="D20" i="2"/>
  <c r="E20" i="2"/>
  <c r="F20" i="2"/>
  <c r="G20" i="2"/>
  <c r="H20" i="2"/>
  <c r="I20" i="2"/>
  <c r="J20" i="2"/>
  <c r="K20" i="2"/>
  <c r="L20" i="2"/>
  <c r="B20" i="2"/>
  <c r="C20" i="2"/>
  <c r="E2" i="2"/>
  <c r="M13" i="2" l="1"/>
  <c r="M20" i="2" s="1"/>
  <c r="E6" i="2" l="1"/>
  <c r="E5" i="2"/>
  <c r="E4" i="2"/>
  <c r="E3" i="2"/>
  <c r="E9" i="2" l="1"/>
  <c r="F7" i="2" s="1"/>
  <c r="F3" i="2" l="1"/>
  <c r="F5" i="2"/>
  <c r="F8" i="2"/>
  <c r="F2" i="2"/>
  <c r="F6" i="2"/>
  <c r="F4" i="2"/>
  <c r="F9" i="2" l="1"/>
</calcChain>
</file>

<file path=xl/sharedStrings.xml><?xml version="1.0" encoding="utf-8"?>
<sst xmlns="http://schemas.openxmlformats.org/spreadsheetml/2006/main" count="2580" uniqueCount="1293">
  <si>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</si>
  <si>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</si>
  <si>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</si>
  <si>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</si>
  <si>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</si>
  <si>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</si>
  <si>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</si>
  <si>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</si>
  <si>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</si>
  <si>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</si>
  <si>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</si>
  <si>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</si>
  <si>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</si>
  <si>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</si>
  <si>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</si>
  <si>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</si>
  <si>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</si>
  <si>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</si>
  <si>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</si>
  <si>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</si>
  <si>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</si>
  <si>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</si>
  <si>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</si>
  <si>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</si>
  <si>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</si>
  <si>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</si>
  <si>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</si>
  <si>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</si>
  <si>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</si>
  <si>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</si>
  <si>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</si>
  <si>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</si>
  <si>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</si>
  <si>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</si>
  <si>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</si>
  <si>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</si>
  <si>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</si>
  <si>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</si>
  <si>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</si>
  <si>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</si>
  <si>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</si>
  <si>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</si>
  <si>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</si>
  <si>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</si>
  <si>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</si>
  <si>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</si>
  <si>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</si>
  <si>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</si>
  <si>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</si>
  <si>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</si>
  <si>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</si>
  <si>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</si>
  <si>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</si>
  <si>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</si>
  <si>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</si>
  <si>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</si>
  <si>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</si>
  <si>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</si>
  <si>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</si>
  <si>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</si>
  <si>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</si>
  <si>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</si>
  <si>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</si>
  <si>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</si>
  <si>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</si>
  <si>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</si>
  <si>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</si>
  <si>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</si>
  <si>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</si>
  <si>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</si>
  <si>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</si>
  <si>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</si>
  <si>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</si>
  <si>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</si>
  <si>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Post
 October16</t>
  </si>
  <si>
    <t>Post 17 October 16 Period</t>
  </si>
  <si>
    <t>Al-Rutba</t>
  </si>
  <si>
    <t>حي الحارة</t>
  </si>
  <si>
    <t>حي الانتصار</t>
  </si>
  <si>
    <t>حي غرب الوادي</t>
  </si>
  <si>
    <t>حي المطار</t>
  </si>
  <si>
    <t>Falluja</t>
  </si>
  <si>
    <t>Al Husi</t>
  </si>
  <si>
    <t>الحصي</t>
  </si>
  <si>
    <t>Al Mualmeen</t>
  </si>
  <si>
    <t xml:space="preserve">حي المعلمين </t>
  </si>
  <si>
    <t>Al Rumila</t>
  </si>
  <si>
    <t>الرميلة</t>
  </si>
  <si>
    <t xml:space="preserve">الشهداء الثانية </t>
  </si>
  <si>
    <t>Al Shurta</t>
  </si>
  <si>
    <t>حي الشرطة</t>
  </si>
  <si>
    <t>Al-andalus</t>
  </si>
  <si>
    <t>حي الأندلس</t>
  </si>
  <si>
    <t xml:space="preserve">الازركية </t>
  </si>
  <si>
    <t>Al-bazara</t>
  </si>
  <si>
    <t>حي البزارة</t>
  </si>
  <si>
    <t xml:space="preserve">قرية الفلاحات </t>
  </si>
  <si>
    <t>Al-jamhuriya</t>
  </si>
  <si>
    <t>الجمهورية</t>
  </si>
  <si>
    <t>Al-Julan</t>
  </si>
  <si>
    <t>الجولان</t>
  </si>
  <si>
    <t>Al-muatasem</t>
  </si>
  <si>
    <t>حي المعتصم</t>
  </si>
  <si>
    <t>الشهابي الاولى</t>
  </si>
  <si>
    <t xml:space="preserve">الشهابي الثانية </t>
  </si>
  <si>
    <t>Al-waheda</t>
  </si>
  <si>
    <t>حي الوحدة</t>
  </si>
  <si>
    <t xml:space="preserve">قرية الزوية </t>
  </si>
  <si>
    <t>البوعيفان</t>
  </si>
  <si>
    <t>Albu Alwan</t>
  </si>
  <si>
    <t>قرية البوعلوان</t>
  </si>
  <si>
    <t>Albu Khalifa</t>
  </si>
  <si>
    <t xml:space="preserve">البوخليفة </t>
  </si>
  <si>
    <t>Albu Khanfar</t>
  </si>
  <si>
    <t xml:space="preserve">البوخنفر </t>
  </si>
  <si>
    <t>البوشجل</t>
  </si>
  <si>
    <t>Albu Shihab</t>
  </si>
  <si>
    <t>البوشهاب</t>
  </si>
  <si>
    <t>البوعكاش</t>
  </si>
  <si>
    <t>Albu Udah</t>
  </si>
  <si>
    <t>البوعودة</t>
  </si>
  <si>
    <t>Door Al Sikik Area</t>
  </si>
  <si>
    <t>دور السكك</t>
  </si>
  <si>
    <t>الحلابسة الكرمة</t>
  </si>
  <si>
    <t xml:space="preserve">قرية الحلابسة </t>
  </si>
  <si>
    <t>Hay Al Askari</t>
  </si>
  <si>
    <t>الحي العسكري</t>
  </si>
  <si>
    <t>Hay Al Dhubbat</t>
  </si>
  <si>
    <t>حي الضباط</t>
  </si>
  <si>
    <t>Muallimeen-2</t>
  </si>
  <si>
    <t xml:space="preserve">حي المعلمين الثانية </t>
  </si>
  <si>
    <t>Nazal</t>
  </si>
  <si>
    <t>حي نزال</t>
  </si>
  <si>
    <t xml:space="preserve">النعيمية </t>
  </si>
  <si>
    <t xml:space="preserve">البوحديد الناصر </t>
  </si>
  <si>
    <t>Haditha</t>
  </si>
  <si>
    <t>Al Khansaa</t>
  </si>
  <si>
    <t>حي الخنساء</t>
  </si>
  <si>
    <t>Al-Mutanabi</t>
  </si>
  <si>
    <t>المتنبي</t>
  </si>
  <si>
    <t>Hay Al Haqlaniyah Qadim</t>
  </si>
  <si>
    <t>حي حقلانية القديمة</t>
  </si>
  <si>
    <t>Heet</t>
  </si>
  <si>
    <t>Abu Tibban</t>
  </si>
  <si>
    <t>ابوطيبان</t>
  </si>
  <si>
    <t>Al Baker</t>
  </si>
  <si>
    <t>حي البكر</t>
  </si>
  <si>
    <t>Al Salkah</t>
  </si>
  <si>
    <t>السكلة</t>
  </si>
  <si>
    <t>Al Shuqaq</t>
  </si>
  <si>
    <t>الشقق</t>
  </si>
  <si>
    <t>Al-muabdiyat</t>
  </si>
  <si>
    <t>المعبديات</t>
  </si>
  <si>
    <t>الحي السكني</t>
  </si>
  <si>
    <t>Al-Qalqalah</t>
  </si>
  <si>
    <t xml:space="preserve">القلقة </t>
  </si>
  <si>
    <t>Al-Sikak</t>
  </si>
  <si>
    <t>السكك</t>
  </si>
  <si>
    <t>Basair</t>
  </si>
  <si>
    <t xml:space="preserve">البصائر </t>
  </si>
  <si>
    <t>Hay Al Farouq</t>
  </si>
  <si>
    <t>حي الفاروق</t>
  </si>
  <si>
    <t>Hay al Jury</t>
  </si>
  <si>
    <t>الجري</t>
  </si>
  <si>
    <t>Hay Al Mamoun</t>
  </si>
  <si>
    <t xml:space="preserve">حي المامون </t>
  </si>
  <si>
    <t>Hay Al-Askari</t>
  </si>
  <si>
    <t>Hay Al-Jabal</t>
  </si>
  <si>
    <t xml:space="preserve">الجبل </t>
  </si>
  <si>
    <t>Hay Al-jamyah 2</t>
  </si>
  <si>
    <t>الجمعية الثانية</t>
  </si>
  <si>
    <t>Hay Al-Khudhir</t>
  </si>
  <si>
    <t>الخضر</t>
  </si>
  <si>
    <t>Hay Al-Qadisiyah</t>
  </si>
  <si>
    <t>القادسية</t>
  </si>
  <si>
    <t>القدس</t>
  </si>
  <si>
    <t>Hay Al-Sadiq</t>
  </si>
  <si>
    <t>حي الصديق</t>
  </si>
  <si>
    <t>Hay Al-Zuhoor</t>
  </si>
  <si>
    <t>حي الزهور</t>
  </si>
  <si>
    <t>المصخن</t>
  </si>
  <si>
    <t>الحي الصناعي</t>
  </si>
  <si>
    <t>Kubaisa Al-qadimah</t>
  </si>
  <si>
    <t>كبيسة القديمة</t>
  </si>
  <si>
    <t>Mualmeen</t>
  </si>
  <si>
    <t>المعلمين</t>
  </si>
  <si>
    <t>The first jamaiya</t>
  </si>
  <si>
    <t>الجمعية الاولى</t>
  </si>
  <si>
    <t>Ramadi</t>
  </si>
  <si>
    <t>الخمسة كيلو</t>
  </si>
  <si>
    <t xml:space="preserve">ابو فليس </t>
  </si>
  <si>
    <t>Al Aadil</t>
  </si>
  <si>
    <t>العادل</t>
  </si>
  <si>
    <t>Al Andalus</t>
  </si>
  <si>
    <t>الاندلس</t>
  </si>
  <si>
    <t>Al Askari</t>
  </si>
  <si>
    <t>العسكري</t>
  </si>
  <si>
    <t>Al Azeziya</t>
  </si>
  <si>
    <t>العزيزية</t>
  </si>
  <si>
    <t>Al Dhubat 2</t>
  </si>
  <si>
    <t xml:space="preserve">الضباط الثانية </t>
  </si>
  <si>
    <t>Al Hooz</t>
  </si>
  <si>
    <t>الحوز</t>
  </si>
  <si>
    <t>Al Jamiya</t>
  </si>
  <si>
    <t>الجمعية</t>
  </si>
  <si>
    <t>Al Katanah</t>
  </si>
  <si>
    <t>الكطانة</t>
  </si>
  <si>
    <t>Al Khulafaa</t>
  </si>
  <si>
    <t>الخلفاء</t>
  </si>
  <si>
    <t>Al Lajeen</t>
  </si>
  <si>
    <t>اللاجئين</t>
  </si>
  <si>
    <t>Al Sajariyah</t>
  </si>
  <si>
    <t>السجارية</t>
  </si>
  <si>
    <t>Al Shuhada</t>
  </si>
  <si>
    <t>الشهداء</t>
  </si>
  <si>
    <t>Al Shuqaq Al Bidh</t>
  </si>
  <si>
    <t>الشقق البيض</t>
  </si>
  <si>
    <t>الصوفية</t>
  </si>
  <si>
    <t>Al Soora</t>
  </si>
  <si>
    <t>السورة</t>
  </si>
  <si>
    <t>العروبة</t>
  </si>
  <si>
    <t>Al Ziraa</t>
  </si>
  <si>
    <t>الزراعة</t>
  </si>
  <si>
    <t>Al-Ankor</t>
  </si>
  <si>
    <t>العنكور</t>
  </si>
  <si>
    <t>Al-Jeraishi</t>
  </si>
  <si>
    <t>الجرايشي</t>
  </si>
  <si>
    <t>Al-Sadiqiyah</t>
  </si>
  <si>
    <t xml:space="preserve">الصديقية </t>
  </si>
  <si>
    <t>Al-Shareka</t>
  </si>
  <si>
    <t>الشركة</t>
  </si>
  <si>
    <t>Al-Shuhadaa</t>
  </si>
  <si>
    <t>حي الشهداء</t>
  </si>
  <si>
    <t>Al-Thilah</t>
  </si>
  <si>
    <t>الثيلة</t>
  </si>
  <si>
    <t>البوعلوان</t>
  </si>
  <si>
    <t>Hay 30 Tamooz</t>
  </si>
  <si>
    <t>حي 30 تموز</t>
  </si>
  <si>
    <t>حي 8 شباط</t>
  </si>
  <si>
    <t>Hay Al Akrad</t>
  </si>
  <si>
    <t>الاكراد</t>
  </si>
  <si>
    <t>Hay Al Dawajin</t>
  </si>
  <si>
    <t>حي الدواجن</t>
  </si>
  <si>
    <t>Hay Al Eskan</t>
  </si>
  <si>
    <t>الاسكان</t>
  </si>
  <si>
    <t>Hay Al Malab</t>
  </si>
  <si>
    <t>الملعب</t>
  </si>
  <si>
    <t>Hay Al-Madani</t>
  </si>
  <si>
    <t xml:space="preserve">الحي المدني </t>
  </si>
  <si>
    <t>Husaibah Al-Sharqiah</t>
  </si>
  <si>
    <t xml:space="preserve">حصيبة الشرقية </t>
  </si>
  <si>
    <t>جويبة</t>
  </si>
  <si>
    <t>القادسية الاولى</t>
  </si>
  <si>
    <t>القادسية الثانية</t>
  </si>
  <si>
    <t>The modern village</t>
  </si>
  <si>
    <t>القرية العصرية</t>
  </si>
  <si>
    <t>Warar</t>
  </si>
  <si>
    <t>الورار</t>
  </si>
  <si>
    <t>Zankura</t>
  </si>
  <si>
    <t>زنكورة</t>
  </si>
  <si>
    <t>زوية الذبان</t>
  </si>
  <si>
    <t>Abu Ghraib</t>
  </si>
  <si>
    <t xml:space="preserve">Adel Hrat village </t>
  </si>
  <si>
    <t>قرية عادل هراط</t>
  </si>
  <si>
    <t>Al Bu Maeed village</t>
  </si>
  <si>
    <t>قرية البو معيد</t>
  </si>
  <si>
    <t>Al Hamadan village</t>
  </si>
  <si>
    <t>الزيدان-قرية الحمدان</t>
  </si>
  <si>
    <t xml:space="preserve">Al Jamahoria village </t>
  </si>
  <si>
    <t>قرية الجمهورية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</si>
  <si>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</si>
  <si>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</si>
  <si>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</si>
  <si>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</si>
  <si>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 xml:space="preserve">Al Shanadka village </t>
  </si>
  <si>
    <t>الزيدان-قرية الشنادخة</t>
  </si>
  <si>
    <t>Al shaneter village</t>
  </si>
  <si>
    <t>الزيدان-قرية الشنيتر</t>
  </si>
  <si>
    <t>Al Zahalya village</t>
  </si>
  <si>
    <t>قرية الزحالية</t>
  </si>
  <si>
    <t xml:space="preserve">Maskor village </t>
  </si>
  <si>
    <t>الزيدان-قرية مشكور</t>
  </si>
  <si>
    <t>Yassen Al Mutlk village</t>
  </si>
  <si>
    <t>الزيدان-قرية ياسين المطلق</t>
  </si>
  <si>
    <t>Kadhimia</t>
  </si>
  <si>
    <t>Sabea Al Buor-11000</t>
  </si>
  <si>
    <t>سبع البور-11000</t>
  </si>
  <si>
    <t>Sabea Al Buor-12000</t>
  </si>
  <si>
    <t>سبع البور-12000</t>
  </si>
  <si>
    <t>Sabea Al Buor-13000</t>
  </si>
  <si>
    <t>سبع البور-13000</t>
  </si>
  <si>
    <t>Sabea Al Buor-14000</t>
  </si>
  <si>
    <t>سبع البور-14000</t>
  </si>
  <si>
    <t>Sabea Al Buor-3000</t>
  </si>
  <si>
    <t>سبع البور-3000</t>
  </si>
  <si>
    <t>Sabea Al Buor-4000</t>
  </si>
  <si>
    <t>سبع البور-4000</t>
  </si>
  <si>
    <t>Sabea Al Buor-5000</t>
  </si>
  <si>
    <t>سبع البور-5000</t>
  </si>
  <si>
    <t>Sabea Al Buor-7000</t>
  </si>
  <si>
    <t>سبع البور-7000</t>
  </si>
  <si>
    <t>Sabea Al Buor-8000</t>
  </si>
  <si>
    <t>سبع البور-8000</t>
  </si>
  <si>
    <t>Sabea Al Buor-9000</t>
  </si>
  <si>
    <t>سبع البور-9000</t>
  </si>
  <si>
    <t>Mahmoudiya</t>
  </si>
  <si>
    <t>Abu Lahya(Al kragolyia)</t>
  </si>
  <si>
    <t>البو عيسا(الكرغولية)</t>
  </si>
  <si>
    <t>Al Bu Hasson(Al kragolyia)</t>
  </si>
  <si>
    <t>البو حسون(الكرغولية)</t>
  </si>
  <si>
    <t xml:space="preserve">Al bu Khdear village </t>
  </si>
  <si>
    <t xml:space="preserve">قرية البو خضير </t>
  </si>
  <si>
    <t>Al Bu solta(Al kragolyia)</t>
  </si>
  <si>
    <t>البو سلطان(الكرغولية)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</si>
  <si>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</si>
  <si>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</si>
  <si>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</si>
  <si>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</si>
  <si>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</si>
  <si>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</si>
  <si>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</si>
  <si>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</si>
  <si>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Dobat(Al kragolyia)</t>
  </si>
  <si>
    <t>حي الضباط(الكرغولية)</t>
  </si>
  <si>
    <t>Hay Al Shuhada(Al kragolyia)</t>
  </si>
  <si>
    <t>حي الشهداء(الكرغولية)</t>
  </si>
  <si>
    <t>Killo-32</t>
  </si>
  <si>
    <t>كيلو 32</t>
  </si>
  <si>
    <t>Shaka-1</t>
  </si>
  <si>
    <t>شاخة-1</t>
  </si>
  <si>
    <t>Shaka-3</t>
  </si>
  <si>
    <t>شاخة-3</t>
  </si>
  <si>
    <t>shaka-4</t>
  </si>
  <si>
    <t>شاخة-4</t>
  </si>
  <si>
    <t>shaka-5</t>
  </si>
  <si>
    <t>شاخة-5</t>
  </si>
  <si>
    <t xml:space="preserve">Shbesha Village </t>
  </si>
  <si>
    <t>قرية شبيشة(الكرغولية)</t>
  </si>
  <si>
    <t>Al-Khalis</t>
  </si>
  <si>
    <t>Al Aqssa Village</t>
  </si>
  <si>
    <t>قرية الاقصى</t>
  </si>
  <si>
    <t>Al Batat village</t>
  </si>
  <si>
    <t>قرية البطاط</t>
  </si>
  <si>
    <t>Al Bayat Village</t>
  </si>
  <si>
    <t>قرية البيات</t>
  </si>
  <si>
    <t>Al Darawish village</t>
  </si>
  <si>
    <t>قرية الدراويش</t>
  </si>
  <si>
    <t>Al Dwaleeb Village</t>
  </si>
  <si>
    <t>قرية الدواليب</t>
  </si>
  <si>
    <t>Al Hamel Vellage</t>
  </si>
  <si>
    <t>قرية الحمل</t>
  </si>
  <si>
    <t>Al Hataween village</t>
  </si>
  <si>
    <t>قرية الهتاوين</t>
  </si>
  <si>
    <t>Al Idhem Center</t>
  </si>
  <si>
    <t>مركز ناحية العظيم</t>
  </si>
  <si>
    <t>Al Jardaniya village</t>
  </si>
  <si>
    <t>قرية الجردانية</t>
  </si>
  <si>
    <t>Al Kholafa Village</t>
  </si>
  <si>
    <t>قرية الخلفاء</t>
  </si>
  <si>
    <t>Al Majara Village</t>
  </si>
  <si>
    <t>قرية المجرة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</si>
  <si>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</si>
  <si>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</si>
  <si>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</si>
  <si>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</si>
  <si>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</si>
  <si>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قرية المرفوع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</si>
  <si>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</si>
  <si>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</si>
  <si>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</si>
  <si>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</si>
  <si>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Al Qalaa Village</t>
  </si>
  <si>
    <t>قرية القلعة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</si>
  <si>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</si>
  <si>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</si>
  <si>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</si>
  <si>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</si>
  <si>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</si>
  <si>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</si>
  <si>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</si>
  <si>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Al Shalahmaa Village</t>
  </si>
  <si>
    <t>قرية الشلاهمة</t>
  </si>
  <si>
    <t>Al Taleaa Al Olaa Village(Albo Rai)</t>
  </si>
  <si>
    <t>قرية الطالعة الاولى(البو ري)</t>
  </si>
  <si>
    <t>Al Taleaa Al Thanya Village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</si>
  <si>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</si>
  <si>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</si>
  <si>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</si>
  <si>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</si>
  <si>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</si>
  <si>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Village(Albo Maree)</t>
  </si>
  <si>
    <t>قرية الوحدة(البو مرعي)</t>
  </si>
  <si>
    <t>قرية العرابضة</t>
  </si>
  <si>
    <t>قرية المكاريين</t>
  </si>
  <si>
    <t>قرية المشروع</t>
  </si>
  <si>
    <t>قرية السادة</t>
  </si>
  <si>
    <t>Albo Awad Village(Albo Khaial)</t>
  </si>
  <si>
    <t>قرية البو عواد(البو خيال)</t>
  </si>
  <si>
    <t>Albo Ebada Village</t>
  </si>
  <si>
    <t>قرية البو عبادة</t>
  </si>
  <si>
    <t>Albo Elaywi village</t>
  </si>
  <si>
    <t>قرية البو عليوي</t>
  </si>
  <si>
    <t>Albo Hassoni village</t>
  </si>
  <si>
    <t>قرية البوحسوني</t>
  </si>
  <si>
    <t>Albo Hnayhen Village</t>
  </si>
  <si>
    <t>قرية البو حنيحن</t>
  </si>
  <si>
    <t>Albo mandil village</t>
  </si>
  <si>
    <t>قرية البومنديل</t>
  </si>
  <si>
    <t>Albo Mohammed Village</t>
  </si>
  <si>
    <t>قرية البو محمد</t>
  </si>
  <si>
    <t>Albo Nagem Village</t>
  </si>
  <si>
    <t>قرية البو نجم</t>
  </si>
  <si>
    <t>Albo Sabee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</si>
  <si>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</si>
  <si>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</si>
  <si>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</si>
  <si>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</si>
  <si>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</si>
  <si>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Shreh Village</t>
  </si>
  <si>
    <t>قرية البو شريح</t>
  </si>
  <si>
    <t>Albo Shyoh village</t>
  </si>
  <si>
    <t>قرية البوشيوح</t>
  </si>
  <si>
    <t>Albo Tarmish village</t>
  </si>
  <si>
    <t>قرية البو طرميش</t>
  </si>
  <si>
    <t>قرية علي العبد الله</t>
  </si>
  <si>
    <t>Alwan Al Hadid Village</t>
  </si>
  <si>
    <t>قرية علوان الحديد</t>
  </si>
  <si>
    <t>Arab Hafeedh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</si>
  <si>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</si>
  <si>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</si>
  <si>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</si>
  <si>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</si>
  <si>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</si>
  <si>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</si>
  <si>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</si>
  <si>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Bazaiz Al Mashroo Village</t>
  </si>
  <si>
    <t>قرية بزايز المشروع</t>
  </si>
  <si>
    <t>Bizayiz Sherwin Village</t>
  </si>
  <si>
    <t>قرية بزايز شروين</t>
  </si>
  <si>
    <t>Coksan village</t>
  </si>
  <si>
    <t>قرية كوكسان</t>
  </si>
  <si>
    <t>Dali Abbas-Al Qadim Qtr</t>
  </si>
  <si>
    <t>دلي عباس-الحي القديم</t>
  </si>
  <si>
    <t>Dalli Abass-Al Mualimen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</si>
  <si>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</si>
  <si>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</si>
  <si>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</si>
  <si>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</si>
  <si>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</si>
  <si>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دلي عباس-حي الضباط</t>
  </si>
  <si>
    <t>قرية داوود السلوم</t>
  </si>
  <si>
    <t>Dwaleeb Al Imam Village</t>
  </si>
  <si>
    <t>قرية دواليب الامام</t>
  </si>
  <si>
    <t>Ein Layla village</t>
  </si>
  <si>
    <t>قرية عين ليلى</t>
  </si>
  <si>
    <t>Habib Al Abdulla Village</t>
  </si>
  <si>
    <t>قرية حبيب العبدالله</t>
  </si>
  <si>
    <t>Habib Al Khaizaran Village</t>
  </si>
  <si>
    <t>قرية حبيب الخيزران</t>
  </si>
  <si>
    <t>Hamza Al 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</si>
  <si>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</si>
  <si>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</si>
  <si>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</si>
  <si>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</si>
  <si>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</si>
  <si>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 village</t>
  </si>
  <si>
    <t>قرية حسن ضايع</t>
  </si>
  <si>
    <t>Jdhaif Village</t>
  </si>
  <si>
    <t>قرية جضيف</t>
  </si>
  <si>
    <t>Khan Al Qorsa Village</t>
  </si>
  <si>
    <t>قرية خان القرصة</t>
  </si>
  <si>
    <t>Khashim Zarzor Village</t>
  </si>
  <si>
    <t>قرية خشم زرزور</t>
  </si>
  <si>
    <t>Mansouriyat Al Gabal</t>
  </si>
  <si>
    <t>منصورية الجبل</t>
  </si>
  <si>
    <t>Mijbas village</t>
  </si>
  <si>
    <t>قرية مجباس</t>
  </si>
  <si>
    <t>Mohammed Ali Village</t>
  </si>
  <si>
    <t>قرية محمد العلي</t>
  </si>
  <si>
    <t>Mohammed Taha Village</t>
  </si>
  <si>
    <t>قرية محمد طه</t>
  </si>
  <si>
    <t>Najim Al Abdulla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</si>
  <si>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</si>
  <si>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</si>
  <si>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</si>
  <si>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</si>
  <si>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</si>
  <si>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Shbeech Village</t>
  </si>
  <si>
    <t>قرية شبيج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</si>
  <si>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</si>
  <si>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</si>
  <si>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</si>
  <si>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</si>
  <si>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</si>
  <si>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</si>
  <si>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</si>
  <si>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</si>
  <si>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</si>
  <si>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</si>
  <si>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Um Al Karami village</t>
  </si>
  <si>
    <t>قرية ام الكرامي</t>
  </si>
  <si>
    <t>Al-Muqdadiya</t>
  </si>
  <si>
    <t>A Hammadi Village</t>
  </si>
  <si>
    <t>قرية الحمادي</t>
  </si>
  <si>
    <t>Abo Dihin</t>
  </si>
  <si>
    <t>ابو دهن</t>
  </si>
  <si>
    <t>Abu musa village</t>
  </si>
  <si>
    <t>قرية ابو موسى</t>
  </si>
  <si>
    <t>Al Aali Village</t>
  </si>
  <si>
    <t>قرية العالي</t>
  </si>
  <si>
    <t>Al Derwish Village</t>
  </si>
  <si>
    <t>قرية الدرويش</t>
  </si>
  <si>
    <t>Al Igaidat Village</t>
  </si>
  <si>
    <t>قرية العكيدات</t>
  </si>
  <si>
    <t>Al Isaiwed Village</t>
  </si>
  <si>
    <t>قرية الاسيود</t>
  </si>
  <si>
    <t>Al Jazera Al Ola Village</t>
  </si>
  <si>
    <t>قرية الجزيرة الاولى</t>
  </si>
  <si>
    <t>Al Jazera Al Thanya village</t>
  </si>
  <si>
    <t>قرية الجزيرة الثانية</t>
  </si>
  <si>
    <t>Al Karama Qtr</t>
  </si>
  <si>
    <t>حي الكرامة</t>
  </si>
  <si>
    <t>Al Lihayb Village</t>
  </si>
  <si>
    <t>قرية اللهيب</t>
  </si>
  <si>
    <t>Al Mataar Qtr</t>
  </si>
  <si>
    <t>Al Mithaq Village</t>
  </si>
  <si>
    <t>قرية الميثاق</t>
  </si>
  <si>
    <t>Al Noor Qtr</t>
  </si>
  <si>
    <t>حي النور</t>
  </si>
  <si>
    <t>Al Oqood Village</t>
  </si>
  <si>
    <t>قرية العقود</t>
  </si>
  <si>
    <t>Al Sakhar Village</t>
  </si>
  <si>
    <t>قرية الصخر</t>
  </si>
  <si>
    <t>Al Shamamla Village</t>
  </si>
  <si>
    <t>قرية الشماملة</t>
  </si>
  <si>
    <t>Al Shekha Village</t>
  </si>
  <si>
    <t>قرية الشيخة</t>
  </si>
  <si>
    <t>Al Sodoor</t>
  </si>
  <si>
    <t>الصدور</t>
  </si>
  <si>
    <t>Al Somood Qtr</t>
  </si>
  <si>
    <t>حي الصمود</t>
  </si>
  <si>
    <t>Al Sooq Qtr</t>
  </si>
  <si>
    <t>حي السوق</t>
  </si>
  <si>
    <t>Al Tinaira Village</t>
  </si>
  <si>
    <t>قرية الطنيرة</t>
  </si>
  <si>
    <t>Al Uroba Qtr</t>
  </si>
  <si>
    <t>حي العروبة</t>
  </si>
  <si>
    <t>Al Wazan Village</t>
  </si>
  <si>
    <t>قرية الوزان</t>
  </si>
  <si>
    <t>Al-Arda village</t>
  </si>
  <si>
    <t>قرية العردة</t>
  </si>
  <si>
    <t>Al-Gawam Village</t>
  </si>
  <si>
    <t>قرية الكوام</t>
  </si>
  <si>
    <t>AlTaiha Qtr</t>
  </si>
  <si>
    <t>قرية التايهة</t>
  </si>
  <si>
    <t>Arab Dhaher Village</t>
  </si>
  <si>
    <t>قرية عرب ظاهر</t>
  </si>
  <si>
    <t>Baloor Village</t>
  </si>
  <si>
    <t>قرية بلور</t>
  </si>
  <si>
    <t>Haj fadhil village</t>
  </si>
  <si>
    <t>قرية حاج فاضل</t>
  </si>
  <si>
    <t>Hamada village</t>
  </si>
  <si>
    <t>قرية حمادة</t>
  </si>
  <si>
    <t>Hembes Village</t>
  </si>
  <si>
    <t>قرية حمبس</t>
  </si>
  <si>
    <t>Imam Talib Village</t>
  </si>
  <si>
    <t>قرية امام طالب</t>
  </si>
  <si>
    <t>Izham village</t>
  </si>
  <si>
    <t>قرية زحام</t>
  </si>
  <si>
    <t>Jubtin village</t>
  </si>
  <si>
    <t>قرية جبتين</t>
  </si>
  <si>
    <t>Mahalat Door Al-Dhubbat</t>
  </si>
  <si>
    <t>محلة دور الضباط</t>
  </si>
  <si>
    <t>Nahr Al Shaykh Village</t>
  </si>
  <si>
    <t>قرية نهر الشيخ</t>
  </si>
  <si>
    <t>Nofal village</t>
  </si>
  <si>
    <t>قرية نوفل</t>
  </si>
  <si>
    <t>Parwana village</t>
  </si>
  <si>
    <t>قرية بروانة</t>
  </si>
  <si>
    <t>Shak Al Rak Village</t>
  </si>
  <si>
    <t>قرية شاق الراق</t>
  </si>
  <si>
    <t>Shamarkhi village</t>
  </si>
  <si>
    <t>قرية شمرخي</t>
  </si>
  <si>
    <t>Shok Al Reem village</t>
  </si>
  <si>
    <t>قرية شوك الريم</t>
  </si>
  <si>
    <t>Sinsil Al Wasat Village</t>
  </si>
  <si>
    <t>قرية سنسل الوسط</t>
  </si>
  <si>
    <t>Skheyr village</t>
  </si>
  <si>
    <t>قرية سخير</t>
  </si>
  <si>
    <t>Sodoor Al Ray</t>
  </si>
  <si>
    <t>صدور الري</t>
  </si>
  <si>
    <t>Walosh1 village</t>
  </si>
  <si>
    <t>قرية ولوش 1</t>
  </si>
  <si>
    <t>Walosh2 village</t>
  </si>
  <si>
    <t>قرية ولوش 2</t>
  </si>
  <si>
    <t>Khanaqin</t>
  </si>
  <si>
    <t>17Tamooz Qtr</t>
  </si>
  <si>
    <t>حي 17 تموز</t>
  </si>
  <si>
    <t>Al Asree Qtr</t>
  </si>
  <si>
    <t>الحي العصري</t>
  </si>
  <si>
    <t>Al Husaini Village</t>
  </si>
  <si>
    <t>قرية الحصيني</t>
  </si>
  <si>
    <t>Al Israa Qtr</t>
  </si>
  <si>
    <t>حي الاسراء</t>
  </si>
  <si>
    <t>Al Jamahir Qtr</t>
  </si>
  <si>
    <t>حي الجماهير</t>
  </si>
  <si>
    <t>Al Oroba Qtr</t>
  </si>
  <si>
    <t>Al Rabe Al Olaa Qtr</t>
  </si>
  <si>
    <t>حي الربيع الاولى</t>
  </si>
  <si>
    <t>Al Rabe Al Thaletha Qtr</t>
  </si>
  <si>
    <t>حي الربيع الثالثة</t>
  </si>
  <si>
    <t>Al Rabe Al Thaniya Qtr</t>
  </si>
  <si>
    <t>حي الربيع الثانية</t>
  </si>
  <si>
    <t>Al Salaam Qtr</t>
  </si>
  <si>
    <t>حي السلام</t>
  </si>
  <si>
    <t>Al Shaheed Qtr(Al Zohor)</t>
  </si>
  <si>
    <t>حي الشهيد(الزهور)</t>
  </si>
  <si>
    <t>Al Shuhada Qtr</t>
  </si>
  <si>
    <t>Al Taakhi Qtr</t>
  </si>
  <si>
    <t>حي التاخي</t>
  </si>
  <si>
    <t>Al Taleaa 2 Qtr</t>
  </si>
  <si>
    <t>حي الطليعة 2</t>
  </si>
  <si>
    <t>Al Taleaa Qtr</t>
  </si>
  <si>
    <t>حي الطليعة</t>
  </si>
  <si>
    <t>Al Wehdaa Qtr</t>
  </si>
  <si>
    <t>Al-Khadraa Qtr</t>
  </si>
  <si>
    <t>حي الخضراء</t>
  </si>
  <si>
    <t>Alkhadra Qtr</t>
  </si>
  <si>
    <t>Bani weas Village</t>
  </si>
  <si>
    <t>قرية بني ويس</t>
  </si>
  <si>
    <t>Murjana village</t>
  </si>
  <si>
    <t>قرية مرجانة</t>
  </si>
  <si>
    <t>Saad Qtr</t>
  </si>
  <si>
    <t xml:space="preserve">حي سعد </t>
  </si>
  <si>
    <t>Said Ahmed Village</t>
  </si>
  <si>
    <t>قرية سيد احمد</t>
  </si>
  <si>
    <t>Said Jabar Village</t>
  </si>
  <si>
    <t>قرية سيد جبار</t>
  </si>
  <si>
    <t>Kifri</t>
  </si>
  <si>
    <t>Al Nitham village</t>
  </si>
  <si>
    <t>قرية النظام</t>
  </si>
  <si>
    <t>Makhmur</t>
  </si>
  <si>
    <t>Abu Sheta</t>
  </si>
  <si>
    <t>ابو شيته</t>
  </si>
  <si>
    <t>Bnari Qara chogh</t>
  </si>
  <si>
    <t>بناري قه ره جوغ</t>
  </si>
  <si>
    <t>Bndiyan</t>
  </si>
  <si>
    <t>بنديان</t>
  </si>
  <si>
    <t>Farmanbaran</t>
  </si>
  <si>
    <t>فرمانبران</t>
  </si>
  <si>
    <t>Kapran</t>
  </si>
  <si>
    <t>كبران</t>
  </si>
  <si>
    <t xml:space="preserve">Kurdistan </t>
  </si>
  <si>
    <t xml:space="preserve">كوردستان </t>
  </si>
  <si>
    <t>Qalat</t>
  </si>
  <si>
    <t>قلات</t>
  </si>
  <si>
    <t>Saray(markez bazar)</t>
  </si>
  <si>
    <t>سراي(مركز بازار)</t>
  </si>
  <si>
    <t>Shahidan</t>
  </si>
  <si>
    <t>شهيدان</t>
  </si>
  <si>
    <t>Sherwany</t>
  </si>
  <si>
    <t>شيرواني</t>
  </si>
  <si>
    <t>Daquq</t>
  </si>
  <si>
    <t>Bashir village</t>
  </si>
  <si>
    <t>قرية بشير</t>
  </si>
  <si>
    <t>Kobani village</t>
  </si>
  <si>
    <t>قرية كوباني</t>
  </si>
  <si>
    <t>Adris khazal</t>
  </si>
  <si>
    <t>ادريس خزعل</t>
  </si>
  <si>
    <t>Al Hendia</t>
  </si>
  <si>
    <t>قرية الهندية</t>
  </si>
  <si>
    <t>Idris khabbaz</t>
  </si>
  <si>
    <t>ادريس خباز</t>
  </si>
  <si>
    <t>Mala Abdullah village</t>
  </si>
  <si>
    <t xml:space="preserve">قرية ملا عبدالله </t>
  </si>
  <si>
    <t>Al-Hamdaniya</t>
  </si>
  <si>
    <t>Kezkan</t>
  </si>
  <si>
    <t>كزكان</t>
  </si>
  <si>
    <t>Majediay</t>
  </si>
  <si>
    <t>مجيدية</t>
  </si>
  <si>
    <t>Tal Al-Laban</t>
  </si>
  <si>
    <t>تل اللبن</t>
  </si>
  <si>
    <t>Wardak</t>
  </si>
  <si>
    <t>وردك</t>
  </si>
  <si>
    <t>Mosul</t>
  </si>
  <si>
    <t>Abo Jarboaa</t>
  </si>
  <si>
    <t>قرية ابو جربوعة</t>
  </si>
  <si>
    <t>Al Baraka complex</t>
  </si>
  <si>
    <t>مجمع البركة</t>
  </si>
  <si>
    <t>Al Haj Ali</t>
  </si>
  <si>
    <t>الحاج علي</t>
  </si>
  <si>
    <t>Al-Alfaf complex</t>
  </si>
  <si>
    <t>مجمع الالفاف</t>
  </si>
  <si>
    <t>Al-Ausaja Village</t>
  </si>
  <si>
    <t>قرية العوسجة</t>
  </si>
  <si>
    <t>AL-Jadah Village</t>
  </si>
  <si>
    <t>قرية الجدعة</t>
  </si>
  <si>
    <t>Al-Qayyarah Center</t>
  </si>
  <si>
    <t>مركز القيارة</t>
  </si>
  <si>
    <t>Al-Zawya Village</t>
  </si>
  <si>
    <t>قرية الزاوية</t>
  </si>
  <si>
    <t>Arfela Village</t>
  </si>
  <si>
    <t>قرية رفيلة</t>
  </si>
  <si>
    <t>Derig</t>
  </si>
  <si>
    <t>قرية ديرج</t>
  </si>
  <si>
    <t>مركز حمام العليل</t>
  </si>
  <si>
    <t>Hay Al Samah</t>
  </si>
  <si>
    <t>حي السماح</t>
  </si>
  <si>
    <t>Khubatah Village</t>
  </si>
  <si>
    <t>قرية خباطة</t>
  </si>
  <si>
    <t>Kokjali</t>
  </si>
  <si>
    <t>كوكجلي</t>
  </si>
  <si>
    <t>Maghara</t>
  </si>
  <si>
    <t>مغارة</t>
  </si>
  <si>
    <t>Makkuk Village</t>
  </si>
  <si>
    <t>قرية مكوك</t>
  </si>
  <si>
    <t>Merki</t>
  </si>
  <si>
    <t>ميركي</t>
  </si>
  <si>
    <t>Omar Qabji</t>
  </si>
  <si>
    <t>قرية عمر قابجي</t>
  </si>
  <si>
    <t>Shura Center</t>
  </si>
  <si>
    <t>الشورى</t>
  </si>
  <si>
    <t>Shwerat Village</t>
  </si>
  <si>
    <t>قرية الشويرات</t>
  </si>
  <si>
    <t>Tlul Nasir Village</t>
  </si>
  <si>
    <t>قرية تلول ناصر</t>
  </si>
  <si>
    <t>Tobzawa Village</t>
  </si>
  <si>
    <t>قرية طوبزاوة</t>
  </si>
  <si>
    <t>Sinjar</t>
  </si>
  <si>
    <t>Adika</t>
  </si>
  <si>
    <t>اديكا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</si>
  <si>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</si>
  <si>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</si>
  <si>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</si>
  <si>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</si>
  <si>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</si>
  <si>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</si>
  <si>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</si>
  <si>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</si>
  <si>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Barah</t>
  </si>
  <si>
    <t>باره</t>
  </si>
  <si>
    <t>Bayevok</t>
  </si>
  <si>
    <t>بايفوك</t>
  </si>
  <si>
    <t>Bir Adam</t>
  </si>
  <si>
    <t>بير ادم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</si>
  <si>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</si>
  <si>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</si>
  <si>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</si>
  <si>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</si>
  <si>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</si>
  <si>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</si>
  <si>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</si>
  <si>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</si>
  <si>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</si>
  <si>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</si>
  <si>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</si>
  <si>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</si>
  <si>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</si>
  <si>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 and shorka</t>
  </si>
  <si>
    <t>كهبل +شوركا  </t>
  </si>
  <si>
    <t>Haliqye</t>
  </si>
  <si>
    <t>حليقي</t>
  </si>
  <si>
    <t>Hay Al Naser</t>
  </si>
  <si>
    <t>حي النصر</t>
  </si>
  <si>
    <t>Hay Azadi</t>
  </si>
  <si>
    <t>حي ازادي</t>
  </si>
  <si>
    <t>Hay barbaroj</t>
  </si>
  <si>
    <t>حي بربروش</t>
  </si>
  <si>
    <t>Hay Yarmok</t>
  </si>
  <si>
    <t>حي يرموك</t>
  </si>
  <si>
    <t xml:space="preserve">Karsi </t>
  </si>
  <si>
    <t>كرسي</t>
  </si>
  <si>
    <t>Khana sor</t>
  </si>
  <si>
    <t>خانصور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</si>
  <si>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</si>
  <si>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</si>
  <si>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</si>
  <si>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</si>
  <si>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</si>
  <si>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</si>
  <si>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</si>
  <si>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</si>
  <si>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Qandil</t>
  </si>
  <si>
    <t>قنديل</t>
  </si>
  <si>
    <t>Quwasi</t>
  </si>
  <si>
    <t>قويسي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</si>
  <si>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</si>
  <si>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</si>
  <si>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</si>
  <si>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</si>
  <si>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</si>
  <si>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</si>
  <si>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</si>
  <si>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</si>
  <si>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</si>
  <si>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</si>
  <si>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Tiraf</t>
  </si>
  <si>
    <t>طيرف</t>
  </si>
  <si>
    <t>Wary Bahdo</t>
  </si>
  <si>
    <t>واري بهدو</t>
  </si>
  <si>
    <t>Zorava and zirwa</t>
  </si>
  <si>
    <t xml:space="preserve">زورافا+زيروا </t>
  </si>
  <si>
    <t>Telafar</t>
  </si>
  <si>
    <t>Abtakh</t>
  </si>
  <si>
    <t>ابتاخ</t>
  </si>
  <si>
    <t>Abu Hajira vilage</t>
  </si>
  <si>
    <t>قرية ابو حجيرة</t>
  </si>
  <si>
    <t>abu khushub</t>
  </si>
  <si>
    <t>Ain aawes</t>
  </si>
  <si>
    <t>عين عويس</t>
  </si>
  <si>
    <t>Ain Hilwa Upper</t>
  </si>
  <si>
    <t>قرية عين حلوة العليا</t>
  </si>
  <si>
    <t>Al Mafri</t>
  </si>
  <si>
    <t>قرية مفري</t>
  </si>
  <si>
    <t>Albawtha vilage</t>
  </si>
  <si>
    <t>قرية البوثة</t>
  </si>
  <si>
    <t>مجمع برديه</t>
  </si>
  <si>
    <t>قرية بئر عكلة</t>
  </si>
  <si>
    <t>Domez complex</t>
  </si>
  <si>
    <t>مجمع دوميز</t>
  </si>
  <si>
    <t>Ein Alhilwa</t>
  </si>
  <si>
    <t>قرية عين الحلوة</t>
  </si>
  <si>
    <t>Ein Gahesheya Village</t>
  </si>
  <si>
    <t>قرية عين جحيشية</t>
  </si>
  <si>
    <t>Ewaynat vilage</t>
  </si>
  <si>
    <t>قرية عوينات</t>
  </si>
  <si>
    <t>Fakerok</t>
  </si>
  <si>
    <t>قرية فقيروك</t>
  </si>
  <si>
    <t>قرية جلبارات</t>
  </si>
  <si>
    <t>Hamd Agha Village</t>
  </si>
  <si>
    <t>حمد اغا</t>
  </si>
  <si>
    <t>Hay Al Arbaeen</t>
  </si>
  <si>
    <t>حي الاربعين</t>
  </si>
  <si>
    <t>حي العسكري</t>
  </si>
  <si>
    <t>Hay Al laban</t>
  </si>
  <si>
    <t>حي اللبن</t>
  </si>
  <si>
    <t>Hay Al Muthana</t>
  </si>
  <si>
    <t>حي المثنى</t>
  </si>
  <si>
    <t>Hay Al Qadisya</t>
  </si>
  <si>
    <t>حي القادسية</t>
  </si>
  <si>
    <t>Hay Al Salam</t>
  </si>
  <si>
    <t>Hay Al Sikak</t>
  </si>
  <si>
    <t>حي السكك</t>
  </si>
  <si>
    <t>Hay Al Uroba</t>
  </si>
  <si>
    <t>Hay Al-Mualemen</t>
  </si>
  <si>
    <t>حي المعلمين</t>
  </si>
  <si>
    <t>Hay Alasreya</t>
  </si>
  <si>
    <t>حي العصرية</t>
  </si>
  <si>
    <t>Hay althahabe</t>
  </si>
  <si>
    <t>الحي الذهبي</t>
  </si>
  <si>
    <t>Hokna</t>
  </si>
  <si>
    <t>قرية حكنه</t>
  </si>
  <si>
    <t>jadida</t>
  </si>
  <si>
    <t>قرية جديده</t>
  </si>
  <si>
    <t>Jukhri Village</t>
  </si>
  <si>
    <t>جخري</t>
  </si>
  <si>
    <t>Jussa</t>
  </si>
  <si>
    <t>قرية جصة</t>
  </si>
  <si>
    <t>Kahreez</t>
  </si>
  <si>
    <t>كهريز</t>
  </si>
  <si>
    <t>Karash village 2</t>
  </si>
  <si>
    <t>قرية كرش 2</t>
  </si>
  <si>
    <t>Karash village 3</t>
  </si>
  <si>
    <t>قرية كرش 3</t>
  </si>
  <si>
    <t>Karbir</t>
  </si>
  <si>
    <t>كربير</t>
  </si>
  <si>
    <t>Karsur vilage</t>
  </si>
  <si>
    <t>قرية كرصور</t>
  </si>
  <si>
    <t>Khan safih</t>
  </si>
  <si>
    <t>خان صفية</t>
  </si>
  <si>
    <t>kirver village</t>
  </si>
  <si>
    <t>قرية كرفر</t>
  </si>
  <si>
    <t>Mashraf</t>
  </si>
  <si>
    <t>مشرف</t>
  </si>
  <si>
    <t>Msherfa Village</t>
  </si>
  <si>
    <t>قرية مشيرفة</t>
  </si>
  <si>
    <t>Omar khaild Village</t>
  </si>
  <si>
    <t>عمر خالد</t>
  </si>
  <si>
    <t>Qaryat Tal Maraq Al Sufla</t>
  </si>
  <si>
    <t>قرية تل مرك سفلى</t>
  </si>
  <si>
    <t>Qaryat Tal Maraq Ulya</t>
  </si>
  <si>
    <t>قرية تل مرك عليا</t>
  </si>
  <si>
    <t>Qasabat Zummar</t>
  </si>
  <si>
    <t>قصبة زمار</t>
  </si>
  <si>
    <t>Qasr Sarij</t>
  </si>
  <si>
    <t>قرية قسرصريج</t>
  </si>
  <si>
    <t>Sahel Hamad Village</t>
  </si>
  <si>
    <t>ساحل حمد</t>
  </si>
  <si>
    <t>Sahilah Village</t>
  </si>
  <si>
    <t>سحيله</t>
  </si>
  <si>
    <t>Salihiat alrawia vilage</t>
  </si>
  <si>
    <t>قرية صالحية الراوية</t>
  </si>
  <si>
    <t>Tal alhuaa</t>
  </si>
  <si>
    <t>Tal Hial vilage</t>
  </si>
  <si>
    <t>قرية تل حيال</t>
  </si>
  <si>
    <t>Tal Ismair</t>
  </si>
  <si>
    <t>Tal Mus</t>
  </si>
  <si>
    <t>قرية تل موس</t>
  </si>
  <si>
    <t>Tal Talab vilage</t>
  </si>
  <si>
    <t>قرية تل طلب</t>
  </si>
  <si>
    <t>Tal wardan vilage</t>
  </si>
  <si>
    <t>قرية تل وردان</t>
  </si>
  <si>
    <t>Tel shor</t>
  </si>
  <si>
    <t>قرية تل الشور</t>
  </si>
  <si>
    <t>Wadi shour</t>
  </si>
  <si>
    <t>قرية وادي شور</t>
  </si>
  <si>
    <t>Tilkaif</t>
  </si>
  <si>
    <t xml:space="preserve">Babnet Village </t>
  </si>
  <si>
    <t>قرية بابنيت</t>
  </si>
  <si>
    <t>Derston</t>
  </si>
  <si>
    <t xml:space="preserve">دير ستون </t>
  </si>
  <si>
    <t>Manara</t>
  </si>
  <si>
    <t>منارة</t>
  </si>
  <si>
    <t>Mosul Dam</t>
  </si>
  <si>
    <t xml:space="preserve">مشروع سد الموصل </t>
  </si>
  <si>
    <t>Tal Adas</t>
  </si>
  <si>
    <t>تل عدس</t>
  </si>
  <si>
    <t>wanna center</t>
  </si>
  <si>
    <t>مركز وانة</t>
  </si>
  <si>
    <t>Al-Daur</t>
  </si>
  <si>
    <t>Al Asriyah village</t>
  </si>
  <si>
    <t>Al Mujammaa Al Sakani</t>
  </si>
  <si>
    <t>المجمع السكني</t>
  </si>
  <si>
    <t>Al-Khadhra area</t>
  </si>
  <si>
    <t>Hay Abu Dalaf</t>
  </si>
  <si>
    <t>حي ابو دلف</t>
  </si>
  <si>
    <t>Hay Al Aboor</t>
  </si>
  <si>
    <t>حي العبور</t>
  </si>
  <si>
    <t>Hay Al Askri</t>
  </si>
  <si>
    <t>Hay Al Mahad</t>
  </si>
  <si>
    <t>حي المعهد</t>
  </si>
  <si>
    <t>Hay Al Qadisiah</t>
  </si>
  <si>
    <t>Hay Al Sharqiyah</t>
  </si>
  <si>
    <t>حي الشرقية</t>
  </si>
  <si>
    <t>Hay Tal Al Banat</t>
  </si>
  <si>
    <t>حي تل البنات</t>
  </si>
  <si>
    <t>Al-Fares</t>
  </si>
  <si>
    <t>قرية البوفدعوس</t>
  </si>
  <si>
    <t>قرية بزنة</t>
  </si>
  <si>
    <t>Al-Shirqat</t>
  </si>
  <si>
    <t>Al Fajir village(Al Tasni)</t>
  </si>
  <si>
    <t>قرية الفجر</t>
  </si>
  <si>
    <t>Al Jumiala village</t>
  </si>
  <si>
    <t>حي الجميلة</t>
  </si>
  <si>
    <t>Al Khadraniyah</t>
  </si>
  <si>
    <t>قرية الخضرانية</t>
  </si>
  <si>
    <t>Al Khanuga village</t>
  </si>
  <si>
    <t>قرية الخانوكة</t>
  </si>
  <si>
    <t>Al Khasim Al-Jaded village-Al qlisat</t>
  </si>
  <si>
    <t>قرية الخصم الجديدة(القليصات)</t>
  </si>
  <si>
    <t>Al-Ayitha Village</t>
  </si>
  <si>
    <t>قريةالعيثة(جرناف شرقي)</t>
  </si>
  <si>
    <t>Al-Horya Al-Qadema village</t>
  </si>
  <si>
    <t>قرية الحورية القديمة</t>
  </si>
  <si>
    <t>Al-Jafr Al-Har village</t>
  </si>
  <si>
    <t>قرية الجفر الحار</t>
  </si>
  <si>
    <t>Al-Khasim Al-Qadem village</t>
  </si>
  <si>
    <t>قرية الخصم القديمة</t>
  </si>
  <si>
    <t>Al-Musehly Village</t>
  </si>
  <si>
    <t>قرية المسيحلي</t>
  </si>
  <si>
    <t>Al-Qalaa Village</t>
  </si>
  <si>
    <t>Al-Qudus</t>
  </si>
  <si>
    <t>Al-Swedan Village</t>
  </si>
  <si>
    <t>قرية سويدان</t>
  </si>
  <si>
    <t>حاوي بعاجه حاوي-حضر</t>
  </si>
  <si>
    <t>Hay Al Qasbah</t>
  </si>
  <si>
    <t>حي القصبة</t>
  </si>
  <si>
    <t>Hay Al-Baladyat</t>
  </si>
  <si>
    <t>حي البلديات</t>
  </si>
  <si>
    <t>Hay Al-noor</t>
  </si>
  <si>
    <t>Hay Tal Baajah</t>
  </si>
  <si>
    <t>حي تل بعاجة</t>
  </si>
  <si>
    <t>Huriyah al jazerah-Al-Aboud</t>
  </si>
  <si>
    <t>قرية العبود</t>
  </si>
  <si>
    <t>Qaryat Al Sabkha</t>
  </si>
  <si>
    <t>قرية الصبخة</t>
  </si>
  <si>
    <t>Tal Al Jumiala area</t>
  </si>
  <si>
    <t xml:space="preserve">تل بعاجة 1 وتل اجميلة </t>
  </si>
  <si>
    <t>Baiji</t>
  </si>
  <si>
    <t>Al Bije Wa Hawijat Al Bije</t>
  </si>
  <si>
    <t>البعيجي وحويجة البعيجي</t>
  </si>
  <si>
    <t>Al Hamra village</t>
  </si>
  <si>
    <t>قرية الحمرة</t>
  </si>
  <si>
    <t>Al Hejaj Village-13</t>
  </si>
  <si>
    <t>Al Mazraa Village</t>
  </si>
  <si>
    <t>قرية المزرعة</t>
  </si>
  <si>
    <t>Qaryat Al Sareen</t>
  </si>
  <si>
    <t>Balad</t>
  </si>
  <si>
    <t>Al-Duloeyah-Hay Al Jubor</t>
  </si>
  <si>
    <t>محلة الجبور الاولى</t>
  </si>
  <si>
    <t>Al-Duloeyah-Hay khazraj</t>
  </si>
  <si>
    <t>محلة خزرج</t>
  </si>
  <si>
    <t>قرية الجبور والحويجة ا</t>
  </si>
  <si>
    <t>Albu Jewari</t>
  </si>
  <si>
    <t>محلة البو جواري</t>
  </si>
  <si>
    <t>Beshakan village</t>
  </si>
  <si>
    <t>قرية بيشكان</t>
  </si>
  <si>
    <t xml:space="preserve">Yathrib sub distrct </t>
  </si>
  <si>
    <t>ناحية يثرب</t>
  </si>
  <si>
    <t>Samarra</t>
  </si>
  <si>
    <t>Al Sayoya-Mahala 1</t>
  </si>
  <si>
    <t>Al-Abasiya Village</t>
  </si>
  <si>
    <t>قرية العباسية</t>
  </si>
  <si>
    <t>Al-Hewaish area</t>
  </si>
  <si>
    <t>قرية الحويش</t>
  </si>
  <si>
    <t>Al-Jillam area</t>
  </si>
  <si>
    <t>منطقة الجلام</t>
  </si>
  <si>
    <t>Al-Tresha-Albu Fahed</t>
  </si>
  <si>
    <t>البو فهد</t>
  </si>
  <si>
    <t>Al-Tresha-Albu Shatb</t>
  </si>
  <si>
    <t>قرية البو شطب</t>
  </si>
  <si>
    <t>Al_Jazera</t>
  </si>
  <si>
    <t>Hawi Albsat</t>
  </si>
  <si>
    <t>مقاطعة 27 حاوى البساط</t>
  </si>
  <si>
    <t>Mahalla Makeshfa</t>
  </si>
  <si>
    <t>Tikrit</t>
  </si>
  <si>
    <t>Al Ahad Al Jadid village</t>
  </si>
  <si>
    <t>قرية العهد الجديد</t>
  </si>
  <si>
    <t>Al Bzikhah Village</t>
  </si>
  <si>
    <t>قرية البزيخة</t>
  </si>
  <si>
    <t>Al Haweja village-AlAbady</t>
  </si>
  <si>
    <t>قرية الحويجة-العبادي</t>
  </si>
  <si>
    <t>قرية الكرامة</t>
  </si>
  <si>
    <t>Al khuzamiya Village</t>
  </si>
  <si>
    <t>قرية الخزامية</t>
  </si>
  <si>
    <t>Al Mahzam village</t>
  </si>
  <si>
    <t>قرية المحزم</t>
  </si>
  <si>
    <t>Al Namah Al Junubiya 49</t>
  </si>
  <si>
    <t>الناعمة الجنوبية قرية الناعمة الجنوبية</t>
  </si>
  <si>
    <t>قرية الصافية</t>
  </si>
  <si>
    <t>Al Shaheed Abdulla village</t>
  </si>
  <si>
    <t>قرية الشهيد عبدالله جباره</t>
  </si>
  <si>
    <t>Al Zallayah village</t>
  </si>
  <si>
    <t>قرية الزلاية</t>
  </si>
  <si>
    <t>Al-Dibsa Village</t>
  </si>
  <si>
    <t>قرية الدبسة</t>
  </si>
  <si>
    <t>Al-Khanag village</t>
  </si>
  <si>
    <t>قرية الخنك</t>
  </si>
  <si>
    <t>Al-Muskarat</t>
  </si>
  <si>
    <t>منطقة المعسكرات</t>
  </si>
  <si>
    <t>Al-Mutaradah 204</t>
  </si>
  <si>
    <t>حي الشهداء مقاطعة 7-المطاردة محلة 204</t>
  </si>
  <si>
    <t>Al-Shahama Village</t>
  </si>
  <si>
    <t>قرية الشهامة</t>
  </si>
  <si>
    <t>Aldleimat Village</t>
  </si>
  <si>
    <t>قرية الدليمات</t>
  </si>
  <si>
    <t>Awajealah Quarter</t>
  </si>
  <si>
    <t>حي عويجيلية-م(27-الخرجة والعالي)</t>
  </si>
  <si>
    <t>Ellmeabdi Al Shemaliya Village</t>
  </si>
  <si>
    <t>قرية حماد شهاب</t>
  </si>
  <si>
    <t>Hay Al Asry Al Jadid-404</t>
  </si>
  <si>
    <t>Hay Al baladiyah</t>
  </si>
  <si>
    <t>حي البلدية-م(27-الخرجة والعالي)</t>
  </si>
  <si>
    <t>Hay Al Jamiyah</t>
  </si>
  <si>
    <t>Hay Al sinay-Al samad</t>
  </si>
  <si>
    <t>حي الصقور</t>
  </si>
  <si>
    <t>Hay Al-Quthat</t>
  </si>
  <si>
    <t>حي القضاة</t>
  </si>
  <si>
    <t>Hay Al-Sikak</t>
  </si>
  <si>
    <t>حي التجنيد</t>
  </si>
  <si>
    <t>Hay Al-Wihda</t>
  </si>
  <si>
    <t>حي الاربعين-محله 414</t>
  </si>
  <si>
    <t>Hay Alfirdous</t>
  </si>
  <si>
    <t>حي الفردوس(البو عبيد)مقاطعة-5 محلة 428</t>
  </si>
  <si>
    <t>حي الجمعية-محله 418</t>
  </si>
  <si>
    <t>Hay Alkahrbaa</t>
  </si>
  <si>
    <t>حي الكهرباء</t>
  </si>
  <si>
    <t>Hay Alqalaa</t>
  </si>
  <si>
    <t>حي القلعة(6-تكريت)محلة 405</t>
  </si>
  <si>
    <t>Hay Alziraa</t>
  </si>
  <si>
    <t>حي الزراعة</t>
  </si>
  <si>
    <t>حي سلمى التغلبيه-محله 401</t>
  </si>
  <si>
    <t>حي شيشين-مقاطعة 5-وادي شيشين محلة 408</t>
  </si>
  <si>
    <t>Mahalla Al Aed</t>
  </si>
  <si>
    <t>حي العائد(27-الخرجة والعالي)محلة العائد</t>
  </si>
  <si>
    <t>Mahalla Al muwadafeen</t>
  </si>
  <si>
    <t>حي الموظفين(27الخرجة والعالي)محلة الموظفين</t>
  </si>
  <si>
    <t>حي المطاردة(قادسية1)مقاطعة 7-محله 214</t>
  </si>
  <si>
    <t>حي المطاردة(قادسية2)مقاطعة 7 محله 218 – قطعه 500</t>
  </si>
  <si>
    <t>حي المطاردة(قادسية2)مقاطعة 7-محله 216</t>
  </si>
  <si>
    <t>Qaryat Erbaidha</t>
  </si>
  <si>
    <t>قرية أربيضة</t>
  </si>
  <si>
    <t>Sadayrat Abo Ajeel</t>
  </si>
  <si>
    <t>صديرة ابو عجيل</t>
  </si>
  <si>
    <t>Samrah Village</t>
  </si>
  <si>
    <t>قرية سمرة</t>
  </si>
  <si>
    <t>Tal-Al Sibaat Village</t>
  </si>
  <si>
    <t>قرية تل السيباط</t>
  </si>
  <si>
    <t>Uwainat</t>
  </si>
  <si>
    <t>عوينات</t>
  </si>
  <si>
    <t>Tooz</t>
  </si>
  <si>
    <t>Brawchili village</t>
  </si>
  <si>
    <t>قرية براوجيلي</t>
  </si>
  <si>
    <t>Chardaghli village</t>
  </si>
  <si>
    <t>قرية جرداغلي</t>
  </si>
  <si>
    <t>Hay Al-Ahrar-Al-Makrama</t>
  </si>
  <si>
    <t>حي الاحرار-المكرمة</t>
  </si>
  <si>
    <t>Hay Al-Askareen</t>
  </si>
  <si>
    <t>حي العسكريين</t>
  </si>
  <si>
    <t>Hay Al-Askary</t>
  </si>
  <si>
    <t>Hay Al-Nasr</t>
  </si>
  <si>
    <t>Hay Al-Shohadaa</t>
  </si>
  <si>
    <t>Hay Al-Teen</t>
  </si>
  <si>
    <t>حي التين</t>
  </si>
  <si>
    <t>Hay Sabaa Tamoz</t>
  </si>
  <si>
    <t>حي سبعة تموز</t>
  </si>
  <si>
    <t>Hay Wahid Huzayran</t>
  </si>
  <si>
    <t>حي واحد حزيران</t>
  </si>
  <si>
    <t>Qara Naz village</t>
  </si>
  <si>
    <t>قرية قرناز</t>
  </si>
  <si>
    <t>1- Pre-June14</t>
  </si>
  <si>
    <t>7- Post 17October 2016</t>
  </si>
  <si>
    <t>Al Hara</t>
  </si>
  <si>
    <t>Al Intesar</t>
  </si>
  <si>
    <t>Hay Al Mattar</t>
  </si>
  <si>
    <t>Hay Gharb Al Wadi</t>
  </si>
  <si>
    <t>Al Azrakiya</t>
  </si>
  <si>
    <t>Al Falahat village</t>
  </si>
  <si>
    <t>Al jdawil (qnatir)</t>
  </si>
  <si>
    <t>الجداول ( الكناطر )</t>
  </si>
  <si>
    <t>Al Niemiya</t>
  </si>
  <si>
    <t>Al Shihabi 1</t>
  </si>
  <si>
    <t>Al Shihabi 2</t>
  </si>
  <si>
    <t>Al Shuhada 2</t>
  </si>
  <si>
    <t>Al Zaghareed</t>
  </si>
  <si>
    <t>الزغاريد</t>
  </si>
  <si>
    <t>Al ziwiyah village</t>
  </si>
  <si>
    <t>Albu Akash</t>
  </si>
  <si>
    <t>Albu Eifan</t>
  </si>
  <si>
    <t>Albu Hadded village</t>
  </si>
  <si>
    <t>Albu Hawa</t>
  </si>
  <si>
    <t xml:space="preserve">البوهوى </t>
  </si>
  <si>
    <t>Albu Jasim village</t>
  </si>
  <si>
    <t>Albu Shijel</t>
  </si>
  <si>
    <t>Alhalabsah village</t>
  </si>
  <si>
    <t>Hay Al Rifay</t>
  </si>
  <si>
    <t>حي الرفاعي</t>
  </si>
  <si>
    <t>K3 complex</t>
  </si>
  <si>
    <t>مجمع ك 28 (( كي ثري ))</t>
  </si>
  <si>
    <t>Al Hay Al Sakani</t>
  </si>
  <si>
    <t>Al Qudus</t>
  </si>
  <si>
    <t>7 Kilo-Mujam Al Sakani</t>
  </si>
  <si>
    <t>Abu Flees</t>
  </si>
  <si>
    <t>Al Qadissiya 2</t>
  </si>
  <si>
    <t>Al Sofiyah</t>
  </si>
  <si>
    <t>Al Uroba</t>
  </si>
  <si>
    <t>Kilo 5</t>
  </si>
  <si>
    <t>Zwiyat Al Thiban</t>
  </si>
  <si>
    <t>killo-31</t>
  </si>
  <si>
    <t>كيلو-31</t>
  </si>
  <si>
    <t>Al Arabdah Village</t>
  </si>
  <si>
    <t>Al Askary Qtr</t>
  </si>
  <si>
    <t>Al Makareen Village</t>
  </si>
  <si>
    <t>Al Mashroo Village</t>
  </si>
  <si>
    <t>Al Romelat Village</t>
  </si>
  <si>
    <t>Al Sadah Village</t>
  </si>
  <si>
    <t>Al Shuhadaa Qtr</t>
  </si>
  <si>
    <t>Ali Al Abdulla Village</t>
  </si>
  <si>
    <t>Dalli Abass-Al Dhobat Qtr</t>
  </si>
  <si>
    <t>Dalli Abass-Kurd Ali Qtr</t>
  </si>
  <si>
    <t>دلي عباس-حي كرد علي</t>
  </si>
  <si>
    <t>Dawod Al Salom Village</t>
  </si>
  <si>
    <t>Markez Gwer</t>
  </si>
  <si>
    <t>مركز كوير</t>
  </si>
  <si>
    <t>Borak</t>
  </si>
  <si>
    <t>قرية أبو خشب</t>
  </si>
  <si>
    <t>Bardiyah complex</t>
  </si>
  <si>
    <t>Beer ekla vilage</t>
  </si>
  <si>
    <t>Gilbarat</t>
  </si>
  <si>
    <t>Hay Al-Noor</t>
  </si>
  <si>
    <t>تل الهوى</t>
  </si>
  <si>
    <t>قرية تل أسمير</t>
  </si>
  <si>
    <t>الدور حي الخضراء</t>
  </si>
  <si>
    <t>Albofadous village</t>
  </si>
  <si>
    <t>Bizna Village</t>
  </si>
  <si>
    <t>Hawi Baaja Hawi</t>
  </si>
  <si>
    <t>قرية الحجاج</t>
  </si>
  <si>
    <t>Albu-Tumah village-12</t>
  </si>
  <si>
    <t>قرية البوطعمه</t>
  </si>
  <si>
    <t>قرية الصرين</t>
  </si>
  <si>
    <t>Al-Haweeja Al bahriya</t>
  </si>
  <si>
    <t>محلة الصعيوية م(16)محلة الصعيوية-1</t>
  </si>
  <si>
    <t>الجزيرة(الجزءالجنوبي)سكن متناثر</t>
  </si>
  <si>
    <t>محلة مكيشفه</t>
  </si>
  <si>
    <t>(Al Qadissiya)-218-500</t>
  </si>
  <si>
    <t>Al Namah Al Shamaliyah Village</t>
  </si>
  <si>
    <t>الناعمة الشمالية قرية الناعمة الشمالية</t>
  </si>
  <si>
    <t>Al-Karama Village</t>
  </si>
  <si>
    <t>Al-Safia Village</t>
  </si>
  <si>
    <t>قرية المعيبدي الشمالية</t>
  </si>
  <si>
    <t>Hammad Shehab village</t>
  </si>
  <si>
    <t>Hay Al Anwaa-Mahalla 420</t>
  </si>
  <si>
    <t>حي الانواء-محله 420</t>
  </si>
  <si>
    <t>Hay Al Arbaeen-Mahalla 414</t>
  </si>
  <si>
    <t>Hay Al Askari village</t>
  </si>
  <si>
    <t>حي العصري-مقاطعة7-المطاردة محلة 404</t>
  </si>
  <si>
    <t>Hay Al Baladiyat-Mahalla 402</t>
  </si>
  <si>
    <t>البلدديات-402</t>
  </si>
  <si>
    <t>احي الجمعية-2</t>
  </si>
  <si>
    <t>Hay Al Jamiyah-Mahalla 418</t>
  </si>
  <si>
    <t>Hay Al Mualimeen-Mahalla 406</t>
  </si>
  <si>
    <t>حي المعلمين-محله 406</t>
  </si>
  <si>
    <t>قرية الصمد</t>
  </si>
  <si>
    <t>Hay Al Zuhoor-Mahalla 422</t>
  </si>
  <si>
    <t>حي الزهور-محله 422</t>
  </si>
  <si>
    <t>Hay Al-Suqoore</t>
  </si>
  <si>
    <t>Hay Aldiyoom</t>
  </si>
  <si>
    <t>حي الديوم-مقاطعة 21-ديوم تكريت</t>
  </si>
  <si>
    <t>Hay Altajneed</t>
  </si>
  <si>
    <t>Hay Alziraa-100 Dar</t>
  </si>
  <si>
    <t>منطقة 100 دار</t>
  </si>
  <si>
    <t>Hay Salma Al Taghlubiyah-Mahalla 401</t>
  </si>
  <si>
    <t>Hay Shishin-408</t>
  </si>
  <si>
    <t>Qdisiyah1-Mahalla 214</t>
  </si>
  <si>
    <t>Qdisiyah2-Mahalla 216</t>
  </si>
  <si>
    <t>Al Jaghify Al Thaniya</t>
  </si>
  <si>
    <t>الجغيفي الثانية</t>
  </si>
  <si>
    <t>قرية البوحياة</t>
  </si>
  <si>
    <t>Ein Abu Hdlan</t>
  </si>
  <si>
    <t>عين ابو هدلان</t>
  </si>
  <si>
    <t>Ein Marmiya</t>
  </si>
  <si>
    <t>عين مرمية</t>
  </si>
  <si>
    <t>Ein Muzan</t>
  </si>
  <si>
    <t>عين موزان</t>
  </si>
  <si>
    <t>Kabarok</t>
  </si>
  <si>
    <t>كبروك</t>
  </si>
  <si>
    <t>Khalideya</t>
  </si>
  <si>
    <t>خالدية</t>
  </si>
  <si>
    <t>Mahana</t>
  </si>
  <si>
    <t>مهانة</t>
  </si>
  <si>
    <t>Saidawa</t>
  </si>
  <si>
    <t>سيداوة</t>
  </si>
  <si>
    <t>Salahya</t>
  </si>
  <si>
    <t>صلاحية</t>
  </si>
  <si>
    <t>Al Samaqiyah</t>
  </si>
  <si>
    <t>السماقية</t>
  </si>
  <si>
    <t>Bashiqa center</t>
  </si>
  <si>
    <t>مركز بعشيقة</t>
  </si>
  <si>
    <t>Baybokht</t>
  </si>
  <si>
    <t>بايبوخت</t>
  </si>
  <si>
    <t>Hamam Alaleel Center</t>
  </si>
  <si>
    <t>Janjy</t>
  </si>
  <si>
    <t>جنجي</t>
  </si>
  <si>
    <t>Tilyarah Village</t>
  </si>
  <si>
    <t>قرية تليارة</t>
  </si>
  <si>
    <t>DTM : Returnee Master List Date 16-2-2017</t>
  </si>
  <si>
    <t>البوجاسم - الكرمة</t>
  </si>
  <si>
    <t>Halabsa - Al karma</t>
  </si>
  <si>
    <t>Hay Al Shuhadaa</t>
  </si>
  <si>
    <t>Albu Hayat village</t>
  </si>
  <si>
    <t>Haqlaniyah - Al shuhadaa</t>
  </si>
  <si>
    <t>حي الشهداء - الحقلانية</t>
  </si>
  <si>
    <t>Heet - Maskhan</t>
  </si>
  <si>
    <t>Kapisah - Hay Al-Sinay</t>
  </si>
  <si>
    <t>السبعة كيلو - المجمع السكني</t>
  </si>
  <si>
    <t>Hay 8 Shbbat</t>
  </si>
  <si>
    <t>Jubiyah</t>
  </si>
  <si>
    <t>Qadisiya - 1</t>
  </si>
  <si>
    <t>Al-Adla Village</t>
  </si>
  <si>
    <t>قرية العدلة</t>
  </si>
  <si>
    <t>Ibrahim Alkhalil Village</t>
  </si>
  <si>
    <t>قرية ابراهيم الخليل</t>
  </si>
  <si>
    <t>Kharabat sultan village</t>
  </si>
  <si>
    <t>قرية خرابة سلطان</t>
  </si>
  <si>
    <t>Kubaiba village</t>
  </si>
  <si>
    <t>قرية كبيبة</t>
  </si>
  <si>
    <t>Omar Kan Village</t>
  </si>
  <si>
    <t>قرية عمر كان</t>
  </si>
  <si>
    <t>Sayyid Hamad village</t>
  </si>
  <si>
    <t>قرية سيد حمد</t>
  </si>
  <si>
    <t>Al-Bareed</t>
  </si>
  <si>
    <t>البريد</t>
  </si>
  <si>
    <t>Al-Karamah</t>
  </si>
  <si>
    <t>الكرامة</t>
  </si>
  <si>
    <t>AL-Maghfera Village</t>
  </si>
  <si>
    <t>قرية المغفرة</t>
  </si>
  <si>
    <t>Al-Qahira</t>
  </si>
  <si>
    <t>القاهرة</t>
  </si>
  <si>
    <t>Bazwaya</t>
  </si>
  <si>
    <t>بازوايا</t>
  </si>
  <si>
    <t>Hay Al Arabi</t>
  </si>
  <si>
    <t>حي العربي</t>
  </si>
  <si>
    <t>HAY-SUMMER</t>
  </si>
  <si>
    <t>حي سومر</t>
  </si>
  <si>
    <t>موصل</t>
  </si>
  <si>
    <t>Nabi Younis</t>
  </si>
  <si>
    <t>حي النبي يونس</t>
  </si>
  <si>
    <t>Al Qawsiyat</t>
  </si>
  <si>
    <t>القوسيات</t>
  </si>
  <si>
    <t>Baawiza</t>
  </si>
  <si>
    <t>بعويزة</t>
  </si>
  <si>
    <t>Tilkaif Center</t>
  </si>
  <si>
    <t>مركز تلكيف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</si>
</sst>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5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5"/>
  <sheetViews>
    <sheetView showGridLines="0" tabSelected="1" zoomScaleNormal="100" workbookViewId="0">
      <selection sqref="A1:E1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8" width="11.7109375" bestFit="1" customWidth="1"/>
    <col min="9" max="9" width="14" bestFit="1" customWidth="1"/>
    <col min="10" max="10" width="10" bestFit="1" customWidth="1"/>
    <col min="11" max="11" width="11.85546875" bestFit="1" customWidth="1"/>
    <col min="12" max="12" width="12.42578125" bestFit="1" customWidth="1"/>
    <col min="13" max="13" width="10.85546875" bestFit="1" customWidth="1"/>
    <col min="14" max="14" width="10.42578125" bestFit="1" customWidth="1"/>
    <col min="15" max="15" width="10.140625" bestFit="1" customWidth="1"/>
    <col min="16" max="16" width="9" bestFit="1" customWidth="1"/>
    <col min="17" max="17" width="11.28515625" bestFit="1" customWidth="1"/>
    <col min="18" max="18" width="10.42578125" bestFit="1" customWidth="1"/>
    <col min="19" max="19" width="10.85546875" bestFit="1" customWidth="1"/>
    <col min="20" max="20" width="13.140625" bestFit="1" customWidth="1"/>
    <col min="21" max="21" width="9.42578125" bestFit="1" customWidth="1"/>
    <col min="22" max="22" width="11" bestFit="1" customWidth="1"/>
    <col min="23" max="23" width="12.85546875" bestFit="1" customWidth="1"/>
    <col min="24" max="24" width="14.7109375" bestFit="1" customWidth="1"/>
    <col min="25" max="25" width="16.140625" bestFit="1" customWidth="1"/>
    <col min="26" max="26" width="11" bestFit="1" customWidth="1"/>
    <col min="27" max="27" width="10.7109375" bestFit="1" customWidth="1"/>
    <col min="28" max="28" width="9.85546875" bestFit="1" customWidth="1"/>
    <col min="29" max="29" width="12.85546875" bestFit="1" customWidth="1"/>
    <col min="30" max="30" width="11.7109375" bestFit="1" customWidth="1"/>
    <col min="31" max="31" width="14.140625" bestFit="1" customWidth="1"/>
    <col min="32" max="32" width="14.28515625" bestFit="1" customWidth="1"/>
    <col min="33" max="33" width="14.42578125" bestFit="1" customWidth="1"/>
    <col min="34" max="34" width="13.140625" bestFit="1" customWidth="1"/>
    <col min="35" max="35" width="11.42578125" bestFit="1" customWidth="1"/>
    <col min="36" max="36" width="12" bestFit="1" customWidth="1"/>
    <col min="37" max="37" width="21.140625" bestFit="1" customWidth="1"/>
    <col min="38" max="39" width="14.42578125" bestFit="1" customWidth="1"/>
    <col min="40" max="40" width="15.140625" bestFit="1" customWidth="1"/>
    <col min="41" max="41" width="13.140625" bestFit="1" customWidth="1"/>
    <col min="42" max="42" width="19.85546875" bestFit="1" customWidth="1"/>
    <col min="43" max="43" width="19.28515625" bestFit="1" customWidth="1"/>
    <col min="44" max="45" width="19.28515625" style="19" customWidth="1"/>
    <col min="46" max="46" width="15" bestFit="1" customWidth="1"/>
    <col min="47" max="47" width="11.42578125" bestFit="1" customWidth="1"/>
    <col min="48" max="48" width="12.7109375" bestFit="1" customWidth="1"/>
  </cols>
  <sheetData>
    <row r="1" spans="1:48" ht="21" customHeight="1" x14ac:dyDescent="0.25">
      <c r="A1" s="48" t="s">
        <v>1245</v>
      </c>
      <c r="B1" s="48"/>
      <c r="C1" s="48"/>
      <c r="D1" s="48"/>
      <c r="E1" s="48"/>
    </row>
    <row r="2" spans="1:48" s="19" customFormat="1" ht="10.35" customHeight="1" x14ac:dyDescent="0.25">
      <c r="A2" s="21"/>
      <c r="B2" s="22"/>
      <c r="C2" s="22"/>
      <c r="D2" s="22"/>
    </row>
    <row r="3" spans="1:48" ht="15" customHeight="1" x14ac:dyDescent="0.25">
      <c r="A3" s="51" t="s">
        <v>65</v>
      </c>
      <c r="B3" s="51"/>
      <c r="C3" s="51"/>
      <c r="D3" s="51"/>
      <c r="E3" s="51"/>
      <c r="F3" s="51"/>
      <c r="G3" s="51"/>
      <c r="H3" s="34"/>
      <c r="I3" s="34"/>
      <c r="J3" s="49" t="s">
        <v>1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1" t="s">
        <v>2</v>
      </c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3" t="s">
        <v>3</v>
      </c>
      <c r="AN3" s="54"/>
      <c r="AO3" s="54"/>
      <c r="AP3" s="54"/>
      <c r="AQ3" s="54"/>
      <c r="AR3" s="55"/>
      <c r="AS3" s="44"/>
      <c r="AT3" s="52" t="s">
        <v>57</v>
      </c>
      <c r="AU3" s="52"/>
      <c r="AV3" s="52"/>
    </row>
    <row r="4" spans="1:48" ht="25.5" x14ac:dyDescent="0.25">
      <c r="A4" s="29" t="s">
        <v>62</v>
      </c>
      <c r="B4" s="29" t="s">
        <v>4</v>
      </c>
      <c r="C4" s="29" t="s">
        <v>5</v>
      </c>
      <c r="D4" s="29" t="s">
        <v>63</v>
      </c>
      <c r="E4" s="29" t="s">
        <v>64</v>
      </c>
      <c r="F4" s="29" t="s">
        <v>6</v>
      </c>
      <c r="G4" s="29" t="s">
        <v>7</v>
      </c>
      <c r="H4" s="35" t="s">
        <v>55</v>
      </c>
      <c r="I4" s="35" t="s">
        <v>56</v>
      </c>
      <c r="J4" s="36" t="s">
        <v>8</v>
      </c>
      <c r="K4" s="36" t="s">
        <v>9</v>
      </c>
      <c r="L4" s="36" t="s">
        <v>10</v>
      </c>
      <c r="M4" s="36" t="s">
        <v>11</v>
      </c>
      <c r="N4" s="36" t="s">
        <v>12</v>
      </c>
      <c r="O4" s="36" t="s">
        <v>13</v>
      </c>
      <c r="P4" s="36" t="s">
        <v>14</v>
      </c>
      <c r="Q4" s="36" t="s">
        <v>15</v>
      </c>
      <c r="R4" s="36" t="s">
        <v>16</v>
      </c>
      <c r="S4" s="36" t="s">
        <v>17</v>
      </c>
      <c r="T4" s="36" t="s">
        <v>18</v>
      </c>
      <c r="U4" s="36" t="s">
        <v>19</v>
      </c>
      <c r="V4" s="36" t="s">
        <v>20</v>
      </c>
      <c r="W4" s="36" t="s">
        <v>21</v>
      </c>
      <c r="X4" s="36" t="s">
        <v>22</v>
      </c>
      <c r="Y4" s="36" t="s">
        <v>23</v>
      </c>
      <c r="Z4" s="36" t="s">
        <v>24</v>
      </c>
      <c r="AA4" s="36" t="s">
        <v>25</v>
      </c>
      <c r="AB4" s="29" t="s">
        <v>26</v>
      </c>
      <c r="AC4" s="29" t="s">
        <v>34</v>
      </c>
      <c r="AD4" s="29" t="s">
        <v>28</v>
      </c>
      <c r="AE4" s="29" t="s">
        <v>33</v>
      </c>
      <c r="AF4" s="29" t="s">
        <v>32</v>
      </c>
      <c r="AG4" s="29" t="s">
        <v>35</v>
      </c>
      <c r="AH4" s="29" t="s">
        <v>30</v>
      </c>
      <c r="AI4" s="29" t="s">
        <v>27</v>
      </c>
      <c r="AJ4" s="29" t="s">
        <v>29</v>
      </c>
      <c r="AK4" s="29" t="s">
        <v>61</v>
      </c>
      <c r="AL4" s="29" t="s">
        <v>36</v>
      </c>
      <c r="AM4" s="37" t="s">
        <v>66</v>
      </c>
      <c r="AN4" s="37" t="s">
        <v>67</v>
      </c>
      <c r="AO4" s="37" t="s">
        <v>68</v>
      </c>
      <c r="AP4" s="37" t="s">
        <v>69</v>
      </c>
      <c r="AQ4" s="37" t="s">
        <v>70</v>
      </c>
      <c r="AR4" s="41" t="s">
        <v>71</v>
      </c>
      <c r="AS4" s="41" t="s">
        <v>75</v>
      </c>
      <c r="AT4" s="39" t="s">
        <v>58</v>
      </c>
      <c r="AU4" s="39" t="s">
        <v>59</v>
      </c>
      <c r="AV4" s="39" t="s">
        <v>60</v>
      </c>
    </row>
    <row r="5" spans="1:48" x14ac:dyDescent="0.25">
      <c r="A5" s="31">
        <v>150</v>
      </c>
      <c r="B5" s="32" t="s">
        <v>8</v>
      </c>
      <c r="C5" s="32" t="s">
        <v>76</v>
      </c>
      <c r="D5" s="32" t="s">
        <v>1112</v>
      </c>
      <c r="E5" s="32" t="s">
        <v>77</v>
      </c>
      <c r="F5" s="32">
        <v>33.038459000000003</v>
      </c>
      <c r="G5" s="32">
        <v>40.293291000000004</v>
      </c>
      <c r="H5" s="33">
        <v>284</v>
      </c>
      <c r="I5" s="33">
        <v>1704</v>
      </c>
      <c r="J5" s="33">
        <v>91</v>
      </c>
      <c r="K5" s="33"/>
      <c r="L5" s="33"/>
      <c r="M5" s="33"/>
      <c r="N5" s="33"/>
      <c r="O5" s="33"/>
      <c r="P5" s="33">
        <v>193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>
        <v>284</v>
      </c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>
        <v>193</v>
      </c>
      <c r="AO5" s="33"/>
      <c r="AP5" s="33"/>
      <c r="AQ5" s="33"/>
      <c r="AR5" s="33">
        <v>91</v>
      </c>
      <c r="AS5" s="33"/>
      <c r="AT5" s="38" t="str">
        <f>HYPERLINK("http://www.openstreetmap.org/?mlat=33.0385&amp;mlon=40.2933&amp;zoom=12#map=12/33.0385/40.2933","Maplink1")</f>
        <v>Maplink1</v>
      </c>
      <c r="AU5" s="38" t="str">
        <f>HYPERLINK("https://www.google.iq/maps/search/+33.0385,40.2933/@33.0385,40.2933,14z?hl=en","Maplink2")</f>
        <v>Maplink2</v>
      </c>
      <c r="AV5" s="38" t="str">
        <f>HYPERLINK("http://www.bing.com/maps/?lvl=14&amp;sty=h&amp;cp=33.0385~40.2933&amp;sp=point.33.0385_40.2933","Maplink3")</f>
        <v>Maplink3</v>
      </c>
    </row>
    <row r="6" spans="1:48" x14ac:dyDescent="0.25">
      <c r="A6" s="9">
        <v>167</v>
      </c>
      <c r="B6" s="10" t="s">
        <v>8</v>
      </c>
      <c r="C6" s="10" t="s">
        <v>76</v>
      </c>
      <c r="D6" s="10" t="s">
        <v>1113</v>
      </c>
      <c r="E6" s="10" t="s">
        <v>78</v>
      </c>
      <c r="F6" s="10">
        <v>33.041953999999997</v>
      </c>
      <c r="G6" s="10">
        <v>40.275979999999997</v>
      </c>
      <c r="H6" s="11">
        <v>625</v>
      </c>
      <c r="I6" s="11">
        <v>3750</v>
      </c>
      <c r="J6" s="11">
        <v>370</v>
      </c>
      <c r="K6" s="11"/>
      <c r="L6" s="11">
        <v>230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>
        <v>25</v>
      </c>
      <c r="Z6" s="11"/>
      <c r="AA6" s="11"/>
      <c r="AB6" s="11"/>
      <c r="AC6" s="11">
        <v>625</v>
      </c>
      <c r="AD6" s="11"/>
      <c r="AE6" s="11"/>
      <c r="AF6" s="11"/>
      <c r="AG6" s="11"/>
      <c r="AH6" s="11"/>
      <c r="AI6" s="11"/>
      <c r="AJ6" s="11"/>
      <c r="AK6" s="11"/>
      <c r="AL6" s="11"/>
      <c r="AM6" s="11">
        <v>230</v>
      </c>
      <c r="AN6" s="11">
        <v>25</v>
      </c>
      <c r="AO6" s="11"/>
      <c r="AP6" s="11"/>
      <c r="AQ6" s="11"/>
      <c r="AR6" s="11">
        <v>370</v>
      </c>
      <c r="AS6" s="11"/>
      <c r="AT6" s="20" t="str">
        <f>HYPERLINK("http://www.openstreetmap.org/?mlat=33.042&amp;mlon=40.276&amp;zoom=12#map=12/33.042/40.276","Maplink1")</f>
        <v>Maplink1</v>
      </c>
      <c r="AU6" s="20" t="str">
        <f>HYPERLINK("https://www.google.iq/maps/search/+33.042,40.276/@33.042,40.276,14z?hl=en","Maplink2")</f>
        <v>Maplink2</v>
      </c>
      <c r="AV6" s="20" t="str">
        <f>HYPERLINK("http://www.bing.com/maps/?lvl=14&amp;sty=h&amp;cp=33.042~40.276&amp;sp=point.33.042_40.276","Maplink3")</f>
        <v>Maplink3</v>
      </c>
    </row>
    <row r="7" spans="1:48" x14ac:dyDescent="0.25">
      <c r="A7" s="9">
        <v>233</v>
      </c>
      <c r="B7" s="10" t="s">
        <v>8</v>
      </c>
      <c r="C7" s="10" t="s">
        <v>76</v>
      </c>
      <c r="D7" s="10" t="s">
        <v>1114</v>
      </c>
      <c r="E7" s="10" t="s">
        <v>80</v>
      </c>
      <c r="F7" s="10">
        <v>33.038566000000003</v>
      </c>
      <c r="G7" s="10">
        <v>40.285538000000003</v>
      </c>
      <c r="H7" s="11">
        <v>432</v>
      </c>
      <c r="I7" s="11">
        <v>2592</v>
      </c>
      <c r="J7" s="11">
        <v>245</v>
      </c>
      <c r="K7" s="11"/>
      <c r="L7" s="11">
        <v>187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>
        <v>432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>
        <v>187</v>
      </c>
      <c r="AQ7" s="11"/>
      <c r="AR7" s="11">
        <v>245</v>
      </c>
      <c r="AS7" s="11"/>
      <c r="AT7" s="20" t="str">
        <f>HYPERLINK("http://www.openstreetmap.org/?mlat=33.0386&amp;mlon=40.2855&amp;zoom=12#map=12/33.0386/40.2855","Maplink1")</f>
        <v>Maplink1</v>
      </c>
      <c r="AU7" s="20" t="str">
        <f>HYPERLINK("https://www.google.iq/maps/search/+33.0386,40.2855/@33.0386,40.2855,14z?hl=en","Maplink2")</f>
        <v>Maplink2</v>
      </c>
      <c r="AV7" s="20" t="str">
        <f>HYPERLINK("http://www.bing.com/maps/?lvl=14&amp;sty=h&amp;cp=33.0386~40.2855&amp;sp=point.33.0386_40.2855","Maplink3")</f>
        <v>Maplink3</v>
      </c>
    </row>
    <row r="8" spans="1:48" x14ac:dyDescent="0.25">
      <c r="A8" s="9">
        <v>23888</v>
      </c>
      <c r="B8" s="10" t="s">
        <v>8</v>
      </c>
      <c r="C8" s="10" t="s">
        <v>76</v>
      </c>
      <c r="D8" s="10" t="s">
        <v>1115</v>
      </c>
      <c r="E8" s="10" t="s">
        <v>79</v>
      </c>
      <c r="F8" s="10">
        <v>33.037021000000003</v>
      </c>
      <c r="G8" s="10">
        <v>40.279730999999998</v>
      </c>
      <c r="H8" s="11">
        <v>384</v>
      </c>
      <c r="I8" s="11">
        <v>2304</v>
      </c>
      <c r="J8" s="11">
        <v>210</v>
      </c>
      <c r="K8" s="11"/>
      <c r="L8" s="11"/>
      <c r="M8" s="11"/>
      <c r="N8" s="11"/>
      <c r="O8" s="11"/>
      <c r="P8" s="11">
        <v>174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>
        <v>384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>
        <v>174</v>
      </c>
      <c r="AO8" s="11"/>
      <c r="AP8" s="11"/>
      <c r="AQ8" s="11"/>
      <c r="AR8" s="11">
        <v>210</v>
      </c>
      <c r="AS8" s="11"/>
      <c r="AT8" s="20" t="str">
        <f>HYPERLINK("http://www.openstreetmap.org/?mlat=33.037&amp;mlon=40.2797&amp;zoom=12#map=12/33.037/40.2797","Maplink1")</f>
        <v>Maplink1</v>
      </c>
      <c r="AU8" s="20" t="str">
        <f>HYPERLINK("https://www.google.iq/maps/search/+33.037,40.2797/@33.037,40.2797,14z?hl=en","Maplink2")</f>
        <v>Maplink2</v>
      </c>
      <c r="AV8" s="20" t="str">
        <f>HYPERLINK("http://www.bing.com/maps/?lvl=14&amp;sty=h&amp;cp=33.037~40.2797&amp;sp=point.33.037_40.2797","Maplink3")</f>
        <v>Maplink3</v>
      </c>
    </row>
    <row r="9" spans="1:48" x14ac:dyDescent="0.25">
      <c r="A9" s="9">
        <v>23801</v>
      </c>
      <c r="B9" s="10" t="s">
        <v>8</v>
      </c>
      <c r="C9" s="10" t="s">
        <v>81</v>
      </c>
      <c r="D9" s="10" t="s">
        <v>1116</v>
      </c>
      <c r="E9" s="10" t="s">
        <v>93</v>
      </c>
      <c r="F9" s="10">
        <v>33.360467999999997</v>
      </c>
      <c r="G9" s="10">
        <v>43.710402000000002</v>
      </c>
      <c r="H9" s="11">
        <v>636</v>
      </c>
      <c r="I9" s="11">
        <v>3816</v>
      </c>
      <c r="J9" s="11">
        <v>636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>
        <v>636</v>
      </c>
      <c r="AD9" s="11"/>
      <c r="AE9" s="11"/>
      <c r="AF9" s="11"/>
      <c r="AG9" s="11"/>
      <c r="AH9" s="11"/>
      <c r="AI9" s="11"/>
      <c r="AJ9" s="11"/>
      <c r="AK9" s="11"/>
      <c r="AL9" s="11"/>
      <c r="AM9" s="11">
        <v>311</v>
      </c>
      <c r="AN9" s="11"/>
      <c r="AO9" s="11"/>
      <c r="AP9" s="11"/>
      <c r="AQ9" s="11">
        <v>130</v>
      </c>
      <c r="AR9" s="11">
        <v>195</v>
      </c>
      <c r="AS9" s="11"/>
      <c r="AT9" s="20" t="str">
        <f>HYPERLINK("http://www.openstreetmap.org/?mlat=33.3605&amp;mlon=43.7104&amp;zoom=12#map=12/33.3605/43.7104","Maplink1")</f>
        <v>Maplink1</v>
      </c>
      <c r="AU9" s="20" t="str">
        <f>HYPERLINK("https://www.google.iq/maps/search/+33.3605,43.7104/@33.3605,43.7104,14z?hl=en","Maplink2")</f>
        <v>Maplink2</v>
      </c>
      <c r="AV9" s="20" t="str">
        <f>HYPERLINK("http://www.bing.com/maps/?lvl=14&amp;sty=h&amp;cp=33.3605~43.7104&amp;sp=point.33.3605_43.7104","Maplink3")</f>
        <v>Maplink3</v>
      </c>
    </row>
    <row r="10" spans="1:48" x14ac:dyDescent="0.25">
      <c r="A10" s="9">
        <v>20899</v>
      </c>
      <c r="B10" s="10" t="s">
        <v>8</v>
      </c>
      <c r="C10" s="10" t="s">
        <v>81</v>
      </c>
      <c r="D10" s="10" t="s">
        <v>1117</v>
      </c>
      <c r="E10" s="10" t="s">
        <v>96</v>
      </c>
      <c r="F10" s="10">
        <v>33.244751000000001</v>
      </c>
      <c r="G10" s="10">
        <v>43.741095999999999</v>
      </c>
      <c r="H10" s="11">
        <v>2023</v>
      </c>
      <c r="I10" s="11">
        <v>12138</v>
      </c>
      <c r="J10" s="11">
        <v>1372</v>
      </c>
      <c r="K10" s="11"/>
      <c r="L10" s="11">
        <v>400</v>
      </c>
      <c r="M10" s="11"/>
      <c r="N10" s="11"/>
      <c r="O10" s="11"/>
      <c r="P10" s="11">
        <v>128</v>
      </c>
      <c r="Q10" s="11"/>
      <c r="R10" s="11">
        <v>80</v>
      </c>
      <c r="S10" s="11"/>
      <c r="T10" s="11"/>
      <c r="U10" s="11"/>
      <c r="V10" s="11"/>
      <c r="W10" s="11"/>
      <c r="X10" s="11"/>
      <c r="Y10" s="11">
        <v>43</v>
      </c>
      <c r="Z10" s="11"/>
      <c r="AA10" s="11"/>
      <c r="AB10" s="11"/>
      <c r="AC10" s="11">
        <v>2023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>
        <v>635</v>
      </c>
      <c r="AN10" s="11">
        <v>211</v>
      </c>
      <c r="AO10" s="11"/>
      <c r="AP10" s="11">
        <v>137</v>
      </c>
      <c r="AQ10" s="11">
        <v>624</v>
      </c>
      <c r="AR10" s="11">
        <v>416</v>
      </c>
      <c r="AS10" s="11"/>
      <c r="AT10" s="20" t="str">
        <f>HYPERLINK("http://www.openstreetmap.org/?mlat=33.2448&amp;mlon=43.7411&amp;zoom=12#map=12/33.2448/43.7411","Maplink1")</f>
        <v>Maplink1</v>
      </c>
      <c r="AU10" s="20" t="str">
        <f>HYPERLINK("https://www.google.iq/maps/search/+33.2448,43.7411/@33.2448,43.7411,14z?hl=en","Maplink2")</f>
        <v>Maplink2</v>
      </c>
      <c r="AV10" s="20" t="str">
        <f>HYPERLINK("http://www.bing.com/maps/?lvl=14&amp;sty=h&amp;cp=33.2448~43.7411&amp;sp=point.33.2448_43.7411","Maplink3")</f>
        <v>Maplink3</v>
      </c>
    </row>
    <row r="11" spans="1:48" x14ac:dyDescent="0.25">
      <c r="A11" s="9">
        <v>22864</v>
      </c>
      <c r="B11" s="10" t="s">
        <v>8</v>
      </c>
      <c r="C11" s="10" t="s">
        <v>81</v>
      </c>
      <c r="D11" s="10" t="s">
        <v>82</v>
      </c>
      <c r="E11" s="10" t="s">
        <v>83</v>
      </c>
      <c r="F11" s="10">
        <v>33.279702999999998</v>
      </c>
      <c r="G11" s="10">
        <v>43.795606999999997</v>
      </c>
      <c r="H11" s="11">
        <v>490</v>
      </c>
      <c r="I11" s="11">
        <v>2940</v>
      </c>
      <c r="J11" s="11">
        <v>326</v>
      </c>
      <c r="K11" s="11"/>
      <c r="L11" s="11"/>
      <c r="M11" s="11"/>
      <c r="N11" s="11"/>
      <c r="O11" s="11"/>
      <c r="P11" s="11">
        <v>82</v>
      </c>
      <c r="Q11" s="11"/>
      <c r="R11" s="11">
        <v>63</v>
      </c>
      <c r="S11" s="11"/>
      <c r="T11" s="11"/>
      <c r="U11" s="11"/>
      <c r="V11" s="11"/>
      <c r="W11" s="11"/>
      <c r="X11" s="11"/>
      <c r="Y11" s="11">
        <v>19</v>
      </c>
      <c r="Z11" s="11"/>
      <c r="AA11" s="11"/>
      <c r="AB11" s="11"/>
      <c r="AC11" s="11">
        <v>490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>
        <v>284</v>
      </c>
      <c r="AN11" s="11"/>
      <c r="AO11" s="11"/>
      <c r="AP11" s="11"/>
      <c r="AQ11" s="11"/>
      <c r="AR11" s="11">
        <v>206</v>
      </c>
      <c r="AS11" s="11"/>
      <c r="AT11" s="20" t="str">
        <f>HYPERLINK("http://www.openstreetmap.org/?mlat=33.2797&amp;mlon=43.7956&amp;zoom=12#map=12/33.2797/43.7956","Maplink1")</f>
        <v>Maplink1</v>
      </c>
      <c r="AU11" s="20" t="str">
        <f>HYPERLINK("https://www.google.iq/maps/search/+33.2797,43.7956/@33.2797,43.7956,14z?hl=en","Maplink2")</f>
        <v>Maplink2</v>
      </c>
      <c r="AV11" s="20" t="str">
        <f>HYPERLINK("http://www.bing.com/maps/?lvl=14&amp;sty=h&amp;cp=33.2797~43.7956&amp;sp=point.33.2797_43.7956","Maplink3")</f>
        <v>Maplink3</v>
      </c>
    </row>
    <row r="12" spans="1:48" x14ac:dyDescent="0.25">
      <c r="A12" s="9">
        <v>29700</v>
      </c>
      <c r="B12" s="10" t="s">
        <v>8</v>
      </c>
      <c r="C12" s="10" t="s">
        <v>81</v>
      </c>
      <c r="D12" s="10" t="s">
        <v>1215</v>
      </c>
      <c r="E12" s="10" t="s">
        <v>1216</v>
      </c>
      <c r="F12" s="10">
        <v>33.373750000000001</v>
      </c>
      <c r="G12" s="10">
        <v>43.80095</v>
      </c>
      <c r="H12" s="11">
        <v>673</v>
      </c>
      <c r="I12" s="11">
        <v>4038</v>
      </c>
      <c r="J12" s="11">
        <v>310</v>
      </c>
      <c r="K12" s="11"/>
      <c r="L12" s="11">
        <v>189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174</v>
      </c>
      <c r="Z12" s="11"/>
      <c r="AA12" s="11"/>
      <c r="AB12" s="11"/>
      <c r="AC12" s="11">
        <v>673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>
        <v>363</v>
      </c>
      <c r="AN12" s="11"/>
      <c r="AO12" s="11"/>
      <c r="AP12" s="11"/>
      <c r="AQ12" s="11"/>
      <c r="AR12" s="11">
        <v>310</v>
      </c>
      <c r="AS12" s="11"/>
      <c r="AT12" s="20" t="str">
        <f>HYPERLINK("http://www.openstreetmap.org/?mlat=33.3738&amp;mlon=43.801&amp;zoom=12#map=12/33.3738/43.801","Maplink1")</f>
        <v>Maplink1</v>
      </c>
      <c r="AU12" s="20" t="str">
        <f>HYPERLINK("https://www.google.iq/maps/search/+33.3738,43.801/@33.3738,43.801,14z?hl=en","Maplink2")</f>
        <v>Maplink2</v>
      </c>
      <c r="AV12" s="20" t="str">
        <f>HYPERLINK("http://www.bing.com/maps/?lvl=14&amp;sty=h&amp;cp=33.3738~43.801&amp;sp=point.33.3738_43.801","Maplink3")</f>
        <v>Maplink3</v>
      </c>
    </row>
    <row r="13" spans="1:48" x14ac:dyDescent="0.25">
      <c r="A13" s="9">
        <v>21742</v>
      </c>
      <c r="B13" s="10" t="s">
        <v>8</v>
      </c>
      <c r="C13" s="10" t="s">
        <v>81</v>
      </c>
      <c r="D13" s="10" t="s">
        <v>1118</v>
      </c>
      <c r="E13" s="10" t="s">
        <v>1119</v>
      </c>
      <c r="F13" s="10">
        <v>33.434659000000003</v>
      </c>
      <c r="G13" s="10">
        <v>43.963735</v>
      </c>
      <c r="H13" s="11">
        <v>724</v>
      </c>
      <c r="I13" s="11">
        <v>4344</v>
      </c>
      <c r="J13" s="11">
        <v>631</v>
      </c>
      <c r="K13" s="11"/>
      <c r="L13" s="11"/>
      <c r="M13" s="11"/>
      <c r="N13" s="11"/>
      <c r="O13" s="11"/>
      <c r="P13" s="11">
        <v>93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724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>
        <v>286</v>
      </c>
      <c r="AN13" s="11">
        <v>135</v>
      </c>
      <c r="AO13" s="11"/>
      <c r="AP13" s="11"/>
      <c r="AQ13" s="11">
        <v>303</v>
      </c>
      <c r="AR13" s="11"/>
      <c r="AS13" s="11"/>
      <c r="AT13" s="20" t="str">
        <f>HYPERLINK("http://www.openstreetmap.org/?mlat=33.4347&amp;mlon=43.9637&amp;zoom=12#map=12/33.4347/43.9637","Maplink1")</f>
        <v>Maplink1</v>
      </c>
      <c r="AU13" s="20" t="str">
        <f>HYPERLINK("https://www.google.iq/maps/search/+33.4347,43.9637/@33.4347,43.9637,14z?hl=en","Maplink2")</f>
        <v>Maplink2</v>
      </c>
      <c r="AV13" s="20" t="str">
        <f>HYPERLINK("http://www.bing.com/maps/?lvl=14&amp;sty=h&amp;cp=33.4347~43.9637&amp;sp=point.33.4347_43.9637","Maplink3")</f>
        <v>Maplink3</v>
      </c>
    </row>
    <row r="14" spans="1:48" x14ac:dyDescent="0.25">
      <c r="A14" s="9">
        <v>122</v>
      </c>
      <c r="B14" s="10" t="s">
        <v>8</v>
      </c>
      <c r="C14" s="10" t="s">
        <v>81</v>
      </c>
      <c r="D14" s="10" t="s">
        <v>84</v>
      </c>
      <c r="E14" s="10" t="s">
        <v>85</v>
      </c>
      <c r="F14" s="10">
        <v>33.362133</v>
      </c>
      <c r="G14" s="10">
        <v>43.780704999999998</v>
      </c>
      <c r="H14" s="11">
        <v>1605</v>
      </c>
      <c r="I14" s="11">
        <v>9630</v>
      </c>
      <c r="J14" s="11">
        <v>954</v>
      </c>
      <c r="K14" s="11"/>
      <c r="L14" s="11"/>
      <c r="M14" s="11"/>
      <c r="N14" s="11"/>
      <c r="O14" s="11"/>
      <c r="P14" s="11">
        <v>482</v>
      </c>
      <c r="Q14" s="11"/>
      <c r="R14" s="11">
        <v>59</v>
      </c>
      <c r="S14" s="11"/>
      <c r="T14" s="11"/>
      <c r="U14" s="11"/>
      <c r="V14" s="11"/>
      <c r="W14" s="11"/>
      <c r="X14" s="11"/>
      <c r="Y14" s="11">
        <v>110</v>
      </c>
      <c r="Z14" s="11"/>
      <c r="AA14" s="11"/>
      <c r="AB14" s="11"/>
      <c r="AC14" s="11">
        <v>1605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>
        <v>648</v>
      </c>
      <c r="AN14" s="11"/>
      <c r="AO14" s="11"/>
      <c r="AP14" s="11">
        <v>114</v>
      </c>
      <c r="AQ14" s="11">
        <v>758</v>
      </c>
      <c r="AR14" s="11">
        <v>85</v>
      </c>
      <c r="AS14" s="11"/>
      <c r="AT14" s="20" t="str">
        <f>HYPERLINK("http://www.openstreetmap.org/?mlat=33.3621&amp;mlon=43.7807&amp;zoom=12#map=12/33.3621/43.7807","Maplink1")</f>
        <v>Maplink1</v>
      </c>
      <c r="AU14" s="20" t="str">
        <f>HYPERLINK("https://www.google.iq/maps/search/+33.3621,43.7807/@33.3621,43.7807,14z?hl=en","Maplink2")</f>
        <v>Maplink2</v>
      </c>
      <c r="AV14" s="20" t="str">
        <f>HYPERLINK("http://www.bing.com/maps/?lvl=14&amp;sty=h&amp;cp=33.3621~43.7807&amp;sp=point.33.3621_43.7807","Maplink3")</f>
        <v>Maplink3</v>
      </c>
    </row>
    <row r="15" spans="1:48" x14ac:dyDescent="0.25">
      <c r="A15" s="9">
        <v>179</v>
      </c>
      <c r="B15" s="10" t="s">
        <v>8</v>
      </c>
      <c r="C15" s="10" t="s">
        <v>81</v>
      </c>
      <c r="D15" s="10" t="s">
        <v>1120</v>
      </c>
      <c r="E15" s="10" t="s">
        <v>133</v>
      </c>
      <c r="F15" s="10">
        <v>33.302100099999997</v>
      </c>
      <c r="G15" s="10">
        <v>43.806984999999997</v>
      </c>
      <c r="H15" s="11">
        <v>1229</v>
      </c>
      <c r="I15" s="11">
        <v>7374</v>
      </c>
      <c r="J15" s="11">
        <v>831</v>
      </c>
      <c r="K15" s="11"/>
      <c r="L15" s="11">
        <v>228</v>
      </c>
      <c r="M15" s="11"/>
      <c r="N15" s="11"/>
      <c r="O15" s="11"/>
      <c r="P15" s="11"/>
      <c r="Q15" s="11"/>
      <c r="R15" s="11">
        <v>170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>
        <v>1207</v>
      </c>
      <c r="AD15" s="11"/>
      <c r="AE15" s="11"/>
      <c r="AF15" s="11"/>
      <c r="AG15" s="11"/>
      <c r="AH15" s="11"/>
      <c r="AI15" s="11">
        <v>22</v>
      </c>
      <c r="AJ15" s="11"/>
      <c r="AK15" s="11"/>
      <c r="AL15" s="11"/>
      <c r="AM15" s="11">
        <v>333</v>
      </c>
      <c r="AN15" s="11"/>
      <c r="AO15" s="11"/>
      <c r="AP15" s="11">
        <v>250</v>
      </c>
      <c r="AQ15" s="11">
        <v>293</v>
      </c>
      <c r="AR15" s="11">
        <v>353</v>
      </c>
      <c r="AS15" s="11"/>
      <c r="AT15" s="20" t="str">
        <f>HYPERLINK("http://www.openstreetmap.org/?mlat=33.3021&amp;mlon=43.807&amp;zoom=12#map=12/33.3021/43.807","Maplink1")</f>
        <v>Maplink1</v>
      </c>
      <c r="AU15" s="20" t="str">
        <f>HYPERLINK("https://www.google.iq/maps/search/+33.3021,43.807/@33.3021,43.807,14z?hl=en","Maplink2")</f>
        <v>Maplink2</v>
      </c>
      <c r="AV15" s="20" t="str">
        <f>HYPERLINK("http://www.bing.com/maps/?lvl=14&amp;sty=h&amp;cp=33.3021~43.807&amp;sp=point.33.3021_43.807","Maplink3")</f>
        <v>Maplink3</v>
      </c>
    </row>
    <row r="16" spans="1:48" x14ac:dyDescent="0.25">
      <c r="A16" s="9">
        <v>22705</v>
      </c>
      <c r="B16" s="10" t="s">
        <v>8</v>
      </c>
      <c r="C16" s="10" t="s">
        <v>81</v>
      </c>
      <c r="D16" s="10" t="s">
        <v>86</v>
      </c>
      <c r="E16" s="10" t="s">
        <v>87</v>
      </c>
      <c r="F16" s="10">
        <v>33.403460000000003</v>
      </c>
      <c r="G16" s="10">
        <v>43.642699</v>
      </c>
      <c r="H16" s="11">
        <v>303</v>
      </c>
      <c r="I16" s="11">
        <v>1818</v>
      </c>
      <c r="J16" s="11">
        <v>303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>
        <v>303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>
        <v>303</v>
      </c>
      <c r="AN16" s="11"/>
      <c r="AO16" s="11"/>
      <c r="AP16" s="11"/>
      <c r="AQ16" s="11"/>
      <c r="AR16" s="11"/>
      <c r="AS16" s="11"/>
      <c r="AT16" s="20" t="str">
        <f>HYPERLINK("http://www.openstreetmap.org/?mlat=33.4035&amp;mlon=43.6427&amp;zoom=12#map=12/33.4035/43.6427","Maplink1")</f>
        <v>Maplink1</v>
      </c>
      <c r="AU16" s="20" t="str">
        <f>HYPERLINK("https://www.google.iq/maps/search/+33.4035,43.6427/@33.4035,43.6427,14z?hl=en","Maplink2")</f>
        <v>Maplink2</v>
      </c>
      <c r="AV16" s="20" t="str">
        <f>HYPERLINK("http://www.bing.com/maps/?lvl=14&amp;sty=h&amp;cp=33.4035~43.6427&amp;sp=point.33.4035_43.6427","Maplink3")</f>
        <v>Maplink3</v>
      </c>
    </row>
    <row r="17" spans="1:48" x14ac:dyDescent="0.25">
      <c r="A17" s="9">
        <v>143</v>
      </c>
      <c r="B17" s="10" t="s">
        <v>8</v>
      </c>
      <c r="C17" s="10" t="s">
        <v>81</v>
      </c>
      <c r="D17" s="10" t="s">
        <v>1121</v>
      </c>
      <c r="E17" s="10" t="s">
        <v>103</v>
      </c>
      <c r="F17" s="10">
        <v>33.386118000000003</v>
      </c>
      <c r="G17" s="10">
        <v>43.90437</v>
      </c>
      <c r="H17" s="11">
        <v>1192</v>
      </c>
      <c r="I17" s="11">
        <v>7152</v>
      </c>
      <c r="J17" s="11">
        <v>1192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>
        <v>1087</v>
      </c>
      <c r="AD17" s="11"/>
      <c r="AE17" s="11"/>
      <c r="AF17" s="11"/>
      <c r="AG17" s="11"/>
      <c r="AH17" s="11"/>
      <c r="AI17" s="11">
        <v>105</v>
      </c>
      <c r="AJ17" s="11"/>
      <c r="AK17" s="11"/>
      <c r="AL17" s="11"/>
      <c r="AM17" s="11">
        <v>366</v>
      </c>
      <c r="AN17" s="11"/>
      <c r="AO17" s="11"/>
      <c r="AP17" s="11"/>
      <c r="AQ17" s="11">
        <v>826</v>
      </c>
      <c r="AR17" s="11"/>
      <c r="AS17" s="11"/>
      <c r="AT17" s="20" t="str">
        <f>HYPERLINK("http://www.openstreetmap.org/?mlat=33.3861&amp;mlon=43.9044&amp;zoom=12#map=12/33.3861/43.9044","Maplink1")</f>
        <v>Maplink1</v>
      </c>
      <c r="AU17" s="20" t="str">
        <f>HYPERLINK("https://www.google.iq/maps/search/+33.3861,43.9044/@33.3861,43.9044,14z?hl=en","Maplink2")</f>
        <v>Maplink2</v>
      </c>
      <c r="AV17" s="20" t="str">
        <f>HYPERLINK("http://www.bing.com/maps/?lvl=14&amp;sty=h&amp;cp=33.3861~43.9044&amp;sp=point.33.3861_43.9044","Maplink3")</f>
        <v>Maplink3</v>
      </c>
    </row>
    <row r="18" spans="1:48" x14ac:dyDescent="0.25">
      <c r="A18" s="9">
        <v>142</v>
      </c>
      <c r="B18" s="10" t="s">
        <v>8</v>
      </c>
      <c r="C18" s="10" t="s">
        <v>81</v>
      </c>
      <c r="D18" s="10" t="s">
        <v>1122</v>
      </c>
      <c r="E18" s="10" t="s">
        <v>104</v>
      </c>
      <c r="F18" s="10">
        <v>33.384627999999999</v>
      </c>
      <c r="G18" s="10">
        <v>43.876576999999997</v>
      </c>
      <c r="H18" s="11">
        <v>1353</v>
      </c>
      <c r="I18" s="11">
        <v>8118</v>
      </c>
      <c r="J18" s="11">
        <v>1353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>
        <v>1353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>
        <v>1353</v>
      </c>
      <c r="AR18" s="11"/>
      <c r="AS18" s="11"/>
      <c r="AT18" s="20" t="str">
        <f>HYPERLINK("http://www.openstreetmap.org/?mlat=33.3846&amp;mlon=43.8766&amp;zoom=12#map=12/33.3846/43.8766","Maplink1")</f>
        <v>Maplink1</v>
      </c>
      <c r="AU18" s="20" t="str">
        <f>HYPERLINK("https://www.google.iq/maps/search/+33.3846,43.8766/@33.3846,43.8766,14z?hl=en","Maplink2")</f>
        <v>Maplink2</v>
      </c>
      <c r="AV18" s="20" t="str">
        <f>HYPERLINK("http://www.bing.com/maps/?lvl=14&amp;sty=h&amp;cp=33.3846~43.8766&amp;sp=point.33.3846_43.8766","Maplink3")</f>
        <v>Maplink3</v>
      </c>
    </row>
    <row r="19" spans="1:48" x14ac:dyDescent="0.25">
      <c r="A19" s="9">
        <v>21556</v>
      </c>
      <c r="B19" s="10" t="s">
        <v>8</v>
      </c>
      <c r="C19" s="10" t="s">
        <v>81</v>
      </c>
      <c r="D19" s="10" t="s">
        <v>1123</v>
      </c>
      <c r="E19" s="10" t="s">
        <v>88</v>
      </c>
      <c r="F19" s="10">
        <v>33.399199000000003</v>
      </c>
      <c r="G19" s="10">
        <v>43.693849999999998</v>
      </c>
      <c r="H19" s="11">
        <v>447</v>
      </c>
      <c r="I19" s="11">
        <v>2682</v>
      </c>
      <c r="J19" s="11">
        <v>367</v>
      </c>
      <c r="K19" s="11"/>
      <c r="L19" s="11"/>
      <c r="M19" s="11"/>
      <c r="N19" s="11"/>
      <c r="O19" s="11"/>
      <c r="P19" s="11"/>
      <c r="Q19" s="11"/>
      <c r="R19" s="11">
        <v>80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>
        <v>447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>
        <v>153</v>
      </c>
      <c r="AN19" s="11"/>
      <c r="AO19" s="11"/>
      <c r="AP19" s="11">
        <v>80</v>
      </c>
      <c r="AQ19" s="11"/>
      <c r="AR19" s="11">
        <v>214</v>
      </c>
      <c r="AS19" s="11"/>
      <c r="AT19" s="20" t="str">
        <f>HYPERLINK("http://www.openstreetmap.org/?mlat=33.3992&amp;mlon=43.6938&amp;zoom=12#map=12/33.3992/43.6938","Maplink1")</f>
        <v>Maplink1</v>
      </c>
      <c r="AU19" s="20" t="str">
        <f>HYPERLINK("https://www.google.iq/maps/search/+33.3992,43.6938/@33.3992,43.6938,14z?hl=en","Maplink2")</f>
        <v>Maplink2</v>
      </c>
      <c r="AV19" s="20" t="str">
        <f>HYPERLINK("http://www.bing.com/maps/?lvl=14&amp;sty=h&amp;cp=33.3992~43.6938&amp;sp=point.33.3992_43.6938","Maplink3")</f>
        <v>Maplink3</v>
      </c>
    </row>
    <row r="20" spans="1:48" x14ac:dyDescent="0.25">
      <c r="A20" s="9">
        <v>169</v>
      </c>
      <c r="B20" s="10" t="s">
        <v>8</v>
      </c>
      <c r="C20" s="10" t="s">
        <v>81</v>
      </c>
      <c r="D20" s="10" t="s">
        <v>89</v>
      </c>
      <c r="E20" s="10" t="s">
        <v>90</v>
      </c>
      <c r="F20" s="10">
        <v>33.364052999999998</v>
      </c>
      <c r="G20" s="10">
        <v>43.789718999999998</v>
      </c>
      <c r="H20" s="11">
        <v>2304</v>
      </c>
      <c r="I20" s="11">
        <v>13824</v>
      </c>
      <c r="J20" s="11">
        <v>1539</v>
      </c>
      <c r="K20" s="11"/>
      <c r="L20" s="11">
        <v>350</v>
      </c>
      <c r="M20" s="11"/>
      <c r="N20" s="11"/>
      <c r="O20" s="11"/>
      <c r="P20" s="11">
        <v>320</v>
      </c>
      <c r="Q20" s="11"/>
      <c r="R20" s="11">
        <v>95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>
        <v>2304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>
        <v>1197</v>
      </c>
      <c r="AN20" s="11"/>
      <c r="AO20" s="11"/>
      <c r="AP20" s="11">
        <v>45</v>
      </c>
      <c r="AQ20" s="11">
        <v>923</v>
      </c>
      <c r="AR20" s="11">
        <v>139</v>
      </c>
      <c r="AS20" s="11"/>
      <c r="AT20" s="20" t="str">
        <f>HYPERLINK("http://www.openstreetmap.org/?mlat=33.3641&amp;mlon=43.7897&amp;zoom=12#map=12/33.3641/43.7897","Maplink1")</f>
        <v>Maplink1</v>
      </c>
      <c r="AU20" s="20" t="str">
        <f>HYPERLINK("https://www.google.iq/maps/search/+33.3641,43.7897/@33.3641,43.7897,14z?hl=en","Maplink2")</f>
        <v>Maplink2</v>
      </c>
      <c r="AV20" s="20" t="str">
        <f>HYPERLINK("http://www.bing.com/maps/?lvl=14&amp;sty=h&amp;cp=33.3641~43.7897&amp;sp=point.33.3641_43.7897","Maplink3")</f>
        <v>Maplink3</v>
      </c>
    </row>
    <row r="21" spans="1:48" x14ac:dyDescent="0.25">
      <c r="A21" s="9">
        <v>22524</v>
      </c>
      <c r="B21" s="10" t="s">
        <v>8</v>
      </c>
      <c r="C21" s="10" t="s">
        <v>81</v>
      </c>
      <c r="D21" s="10" t="s">
        <v>1124</v>
      </c>
      <c r="E21" s="10" t="s">
        <v>1125</v>
      </c>
      <c r="F21" s="10">
        <v>33.417924999999997</v>
      </c>
      <c r="G21" s="10">
        <v>43.685180000000003</v>
      </c>
      <c r="H21" s="11">
        <v>20</v>
      </c>
      <c r="I21" s="11">
        <v>120</v>
      </c>
      <c r="J21" s="11"/>
      <c r="K21" s="11"/>
      <c r="L21" s="11"/>
      <c r="M21" s="11"/>
      <c r="N21" s="11"/>
      <c r="O21" s="11"/>
      <c r="P21" s="11"/>
      <c r="Q21" s="11"/>
      <c r="R21" s="11">
        <v>20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>
        <v>20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>
        <v>20</v>
      </c>
      <c r="AR21" s="11"/>
      <c r="AS21" s="11"/>
      <c r="AT21" s="20" t="str">
        <f>HYPERLINK("http://www.openstreetmap.org/?mlat=33.4179&amp;mlon=43.6852&amp;zoom=12#map=12/33.4179/43.6852","Maplink1")</f>
        <v>Maplink1</v>
      </c>
      <c r="AU21" s="20" t="str">
        <f>HYPERLINK("https://www.google.iq/maps/search/+33.4179,43.6852/@33.4179,43.6852,14z?hl=en","Maplink2")</f>
        <v>Maplink2</v>
      </c>
      <c r="AV21" s="20" t="str">
        <f>HYPERLINK("http://www.bing.com/maps/?lvl=14&amp;sty=h&amp;cp=33.4179~43.6852&amp;sp=point.33.4179_43.6852","Maplink3")</f>
        <v>Maplink3</v>
      </c>
    </row>
    <row r="22" spans="1:48" x14ac:dyDescent="0.25">
      <c r="A22" s="9">
        <v>319</v>
      </c>
      <c r="B22" s="10" t="s">
        <v>8</v>
      </c>
      <c r="C22" s="10" t="s">
        <v>81</v>
      </c>
      <c r="D22" s="10" t="s">
        <v>1126</v>
      </c>
      <c r="E22" s="10" t="s">
        <v>107</v>
      </c>
      <c r="F22" s="10">
        <v>33.339576000000001</v>
      </c>
      <c r="G22" s="10">
        <v>43.752777999999999</v>
      </c>
      <c r="H22" s="11">
        <v>2293</v>
      </c>
      <c r="I22" s="11">
        <v>13758</v>
      </c>
      <c r="J22" s="11">
        <v>1782</v>
      </c>
      <c r="K22" s="11"/>
      <c r="L22" s="11">
        <v>220</v>
      </c>
      <c r="M22" s="11"/>
      <c r="N22" s="11"/>
      <c r="O22" s="11"/>
      <c r="P22" s="11">
        <v>210</v>
      </c>
      <c r="Q22" s="11"/>
      <c r="R22" s="11">
        <v>81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>
        <v>2293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>
        <v>1168</v>
      </c>
      <c r="AN22" s="11">
        <v>31</v>
      </c>
      <c r="AO22" s="11"/>
      <c r="AP22" s="11">
        <v>199</v>
      </c>
      <c r="AQ22" s="11">
        <v>705</v>
      </c>
      <c r="AR22" s="11">
        <v>190</v>
      </c>
      <c r="AS22" s="11"/>
      <c r="AT22" s="20" t="str">
        <f>HYPERLINK("http://www.openstreetmap.org/?mlat=33.3396&amp;mlon=43.7528&amp;zoom=12#map=12/33.3396/43.7528","Maplink1")</f>
        <v>Maplink1</v>
      </c>
      <c r="AU22" s="20" t="str">
        <f>HYPERLINK("https://www.google.iq/maps/search/+33.3396,43.7528/@33.3396,43.7528,14z?hl=en","Maplink2")</f>
        <v>Maplink2</v>
      </c>
      <c r="AV22" s="20" t="str">
        <f>HYPERLINK("http://www.bing.com/maps/?lvl=14&amp;sty=h&amp;cp=33.3396~43.7528&amp;sp=point.33.3396_43.7528","Maplink3")</f>
        <v>Maplink3</v>
      </c>
    </row>
    <row r="23" spans="1:48" x14ac:dyDescent="0.25">
      <c r="A23" s="9">
        <v>176</v>
      </c>
      <c r="B23" s="10" t="s">
        <v>8</v>
      </c>
      <c r="C23" s="10" t="s">
        <v>81</v>
      </c>
      <c r="D23" s="10" t="s">
        <v>91</v>
      </c>
      <c r="E23" s="10" t="s">
        <v>92</v>
      </c>
      <c r="F23" s="10">
        <v>33.349815999999997</v>
      </c>
      <c r="G23" s="10">
        <v>43.772097000000002</v>
      </c>
      <c r="H23" s="11">
        <v>2168</v>
      </c>
      <c r="I23" s="11">
        <v>13008</v>
      </c>
      <c r="J23" s="11">
        <v>1118</v>
      </c>
      <c r="K23" s="11"/>
      <c r="L23" s="11">
        <v>267</v>
      </c>
      <c r="M23" s="11"/>
      <c r="N23" s="11"/>
      <c r="O23" s="11"/>
      <c r="P23" s="11">
        <v>400</v>
      </c>
      <c r="Q23" s="11"/>
      <c r="R23" s="11">
        <v>114</v>
      </c>
      <c r="S23" s="11"/>
      <c r="T23" s="11"/>
      <c r="U23" s="11"/>
      <c r="V23" s="11"/>
      <c r="W23" s="11"/>
      <c r="X23" s="11"/>
      <c r="Y23" s="11">
        <v>269</v>
      </c>
      <c r="Z23" s="11"/>
      <c r="AA23" s="11"/>
      <c r="AB23" s="11"/>
      <c r="AC23" s="11">
        <v>2168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>
        <v>1126</v>
      </c>
      <c r="AN23" s="11">
        <v>173</v>
      </c>
      <c r="AO23" s="11"/>
      <c r="AP23" s="11">
        <v>210</v>
      </c>
      <c r="AQ23" s="11">
        <v>456</v>
      </c>
      <c r="AR23" s="11">
        <v>203</v>
      </c>
      <c r="AS23" s="11"/>
      <c r="AT23" s="20" t="str">
        <f>HYPERLINK("http://www.openstreetmap.org/?mlat=33.3498&amp;mlon=43.7721&amp;zoom=12#map=12/33.3498/43.7721","Maplink1")</f>
        <v>Maplink1</v>
      </c>
      <c r="AU23" s="20" t="str">
        <f>HYPERLINK("https://www.google.iq/maps/search/+33.3498,43.7721/@33.3498,43.7721,14z?hl=en","Maplink2")</f>
        <v>Maplink2</v>
      </c>
      <c r="AV23" s="20" t="str">
        <f>HYPERLINK("http://www.bing.com/maps/?lvl=14&amp;sty=h&amp;cp=33.3498~43.7721&amp;sp=point.33.3498_43.7721","Maplink3")</f>
        <v>Maplink3</v>
      </c>
    </row>
    <row r="24" spans="1:48" x14ac:dyDescent="0.25">
      <c r="A24" s="9">
        <v>177</v>
      </c>
      <c r="B24" s="10" t="s">
        <v>8</v>
      </c>
      <c r="C24" s="10" t="s">
        <v>81</v>
      </c>
      <c r="D24" s="10" t="s">
        <v>94</v>
      </c>
      <c r="E24" s="10" t="s">
        <v>95</v>
      </c>
      <c r="F24" s="10">
        <v>33.352469999999997</v>
      </c>
      <c r="G24" s="10">
        <v>43.767167999999998</v>
      </c>
      <c r="H24" s="11">
        <v>1578</v>
      </c>
      <c r="I24" s="11">
        <v>9468</v>
      </c>
      <c r="J24" s="11">
        <v>1315</v>
      </c>
      <c r="K24" s="11"/>
      <c r="L24" s="11">
        <v>118</v>
      </c>
      <c r="M24" s="11"/>
      <c r="N24" s="11"/>
      <c r="O24" s="11"/>
      <c r="P24" s="11">
        <v>89</v>
      </c>
      <c r="Q24" s="11"/>
      <c r="R24" s="11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>
        <v>1578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>
        <v>592</v>
      </c>
      <c r="AN24" s="11"/>
      <c r="AO24" s="11"/>
      <c r="AP24" s="11">
        <v>106</v>
      </c>
      <c r="AQ24" s="11">
        <v>784</v>
      </c>
      <c r="AR24" s="11">
        <v>96</v>
      </c>
      <c r="AS24" s="11"/>
      <c r="AT24" s="20" t="str">
        <f>HYPERLINK("http://www.openstreetmap.org/?mlat=33.3525&amp;mlon=43.7672&amp;zoom=12#map=12/33.3525/43.7672","Maplink1")</f>
        <v>Maplink1</v>
      </c>
      <c r="AU24" s="20" t="str">
        <f>HYPERLINK("https://www.google.iq/maps/search/+33.3525,43.7672/@33.3525,43.7672,14z?hl=en","Maplink2")</f>
        <v>Maplink2</v>
      </c>
      <c r="AV24" s="20" t="str">
        <f>HYPERLINK("http://www.bing.com/maps/?lvl=14&amp;sty=h&amp;cp=33.3525~43.7672&amp;sp=point.33.3525_43.7672","Maplink3")</f>
        <v>Maplink3</v>
      </c>
    </row>
    <row r="25" spans="1:48" x14ac:dyDescent="0.25">
      <c r="A25" s="9">
        <v>173</v>
      </c>
      <c r="B25" s="10" t="s">
        <v>8</v>
      </c>
      <c r="C25" s="10" t="s">
        <v>81</v>
      </c>
      <c r="D25" s="10" t="s">
        <v>97</v>
      </c>
      <c r="E25" s="10" t="s">
        <v>98</v>
      </c>
      <c r="F25" s="10">
        <v>33.353059000000002</v>
      </c>
      <c r="G25" s="10">
        <v>43.772905000000002</v>
      </c>
      <c r="H25" s="11">
        <v>1765</v>
      </c>
      <c r="I25" s="11">
        <v>10590</v>
      </c>
      <c r="J25" s="11">
        <v>798</v>
      </c>
      <c r="K25" s="11"/>
      <c r="L25" s="11"/>
      <c r="M25" s="11"/>
      <c r="N25" s="11"/>
      <c r="O25" s="11"/>
      <c r="P25" s="11">
        <v>625</v>
      </c>
      <c r="Q25" s="11"/>
      <c r="R25" s="11">
        <v>132</v>
      </c>
      <c r="S25" s="11"/>
      <c r="T25" s="11"/>
      <c r="U25" s="11"/>
      <c r="V25" s="11"/>
      <c r="W25" s="11"/>
      <c r="X25" s="11"/>
      <c r="Y25" s="11">
        <v>210</v>
      </c>
      <c r="Z25" s="11"/>
      <c r="AA25" s="11"/>
      <c r="AB25" s="11"/>
      <c r="AC25" s="11">
        <v>1765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>
        <v>664</v>
      </c>
      <c r="AN25" s="11">
        <v>448</v>
      </c>
      <c r="AO25" s="11"/>
      <c r="AP25" s="11">
        <v>245</v>
      </c>
      <c r="AQ25" s="11">
        <v>408</v>
      </c>
      <c r="AR25" s="11"/>
      <c r="AS25" s="11"/>
      <c r="AT25" s="20" t="str">
        <f>HYPERLINK("http://www.openstreetmap.org/?mlat=33.3531&amp;mlon=43.7729&amp;zoom=12#map=12/33.3531/43.7729","Maplink1")</f>
        <v>Maplink1</v>
      </c>
      <c r="AU25" s="20" t="str">
        <f>HYPERLINK("https://www.google.iq/maps/search/+33.3531,43.7729/@33.3531,43.7729,14z?hl=en","Maplink2")</f>
        <v>Maplink2</v>
      </c>
      <c r="AV25" s="20" t="str">
        <f>HYPERLINK("http://www.bing.com/maps/?lvl=14&amp;sty=h&amp;cp=33.3531~43.7729&amp;sp=point.33.3531_43.7729","Maplink3")</f>
        <v>Maplink3</v>
      </c>
    </row>
    <row r="26" spans="1:48" x14ac:dyDescent="0.25">
      <c r="A26" s="9">
        <v>299</v>
      </c>
      <c r="B26" s="10" t="s">
        <v>8</v>
      </c>
      <c r="C26" s="10" t="s">
        <v>81</v>
      </c>
      <c r="D26" s="10" t="s">
        <v>99</v>
      </c>
      <c r="E26" s="10" t="s">
        <v>100</v>
      </c>
      <c r="F26" s="10">
        <v>33.361091000000002</v>
      </c>
      <c r="G26" s="10">
        <v>43.764626</v>
      </c>
      <c r="H26" s="11">
        <v>1941</v>
      </c>
      <c r="I26" s="11">
        <v>11646</v>
      </c>
      <c r="J26" s="11">
        <v>1225</v>
      </c>
      <c r="K26" s="11"/>
      <c r="L26" s="11">
        <v>251</v>
      </c>
      <c r="M26" s="11"/>
      <c r="N26" s="11"/>
      <c r="O26" s="11"/>
      <c r="P26" s="11">
        <v>207</v>
      </c>
      <c r="Q26" s="11"/>
      <c r="R26" s="11"/>
      <c r="S26" s="11"/>
      <c r="T26" s="11"/>
      <c r="U26" s="11"/>
      <c r="V26" s="11"/>
      <c r="W26" s="11"/>
      <c r="X26" s="11"/>
      <c r="Y26" s="11">
        <v>258</v>
      </c>
      <c r="Z26" s="11"/>
      <c r="AA26" s="11"/>
      <c r="AB26" s="11"/>
      <c r="AC26" s="11">
        <v>1941</v>
      </c>
      <c r="AD26" s="11"/>
      <c r="AE26" s="11"/>
      <c r="AF26" s="11"/>
      <c r="AG26" s="11"/>
      <c r="AH26" s="11"/>
      <c r="AI26" s="11"/>
      <c r="AJ26" s="11"/>
      <c r="AK26" s="11"/>
      <c r="AL26" s="11"/>
      <c r="AM26" s="11">
        <v>941</v>
      </c>
      <c r="AN26" s="11">
        <v>146</v>
      </c>
      <c r="AO26" s="11"/>
      <c r="AP26" s="11">
        <v>78</v>
      </c>
      <c r="AQ26" s="11">
        <v>640</v>
      </c>
      <c r="AR26" s="11">
        <v>136</v>
      </c>
      <c r="AS26" s="11"/>
      <c r="AT26" s="20" t="str">
        <f>HYPERLINK("http://www.openstreetmap.org/?mlat=33.3611&amp;mlon=43.7646&amp;zoom=12#map=12/33.3611/43.7646","Maplink1")</f>
        <v>Maplink1</v>
      </c>
      <c r="AU26" s="20" t="str">
        <f>HYPERLINK("https://www.google.iq/maps/search/+33.3611,43.7646/@33.3611,43.7646,14z?hl=en","Maplink2")</f>
        <v>Maplink2</v>
      </c>
      <c r="AV26" s="20" t="str">
        <f>HYPERLINK("http://www.bing.com/maps/?lvl=14&amp;sty=h&amp;cp=33.3611~43.7646&amp;sp=point.33.3611_43.7646","Maplink3")</f>
        <v>Maplink3</v>
      </c>
    </row>
    <row r="27" spans="1:48" x14ac:dyDescent="0.25">
      <c r="A27" s="9">
        <v>178</v>
      </c>
      <c r="B27" s="10" t="s">
        <v>8</v>
      </c>
      <c r="C27" s="10" t="s">
        <v>81</v>
      </c>
      <c r="D27" s="10" t="s">
        <v>101</v>
      </c>
      <c r="E27" s="10" t="s">
        <v>102</v>
      </c>
      <c r="F27" s="10">
        <v>33.354215000000003</v>
      </c>
      <c r="G27" s="10">
        <v>43.761924</v>
      </c>
      <c r="H27" s="11">
        <v>1513</v>
      </c>
      <c r="I27" s="11">
        <v>9078</v>
      </c>
      <c r="J27" s="11">
        <v>827</v>
      </c>
      <c r="K27" s="11"/>
      <c r="L27" s="11">
        <v>240</v>
      </c>
      <c r="M27" s="11"/>
      <c r="N27" s="11"/>
      <c r="O27" s="11"/>
      <c r="P27" s="11">
        <v>340</v>
      </c>
      <c r="Q27" s="11"/>
      <c r="R27" s="11">
        <v>106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>
        <v>1513</v>
      </c>
      <c r="AD27" s="11"/>
      <c r="AE27" s="11"/>
      <c r="AF27" s="11"/>
      <c r="AG27" s="11"/>
      <c r="AH27" s="11"/>
      <c r="AI27" s="11"/>
      <c r="AJ27" s="11"/>
      <c r="AK27" s="11"/>
      <c r="AL27" s="11"/>
      <c r="AM27" s="11">
        <v>832</v>
      </c>
      <c r="AN27" s="11"/>
      <c r="AO27" s="11"/>
      <c r="AP27" s="11">
        <v>243</v>
      </c>
      <c r="AQ27" s="11">
        <v>140</v>
      </c>
      <c r="AR27" s="11">
        <v>298</v>
      </c>
      <c r="AS27" s="11"/>
      <c r="AT27" s="20" t="str">
        <f>HYPERLINK("http://www.openstreetmap.org/?mlat=33.3542&amp;mlon=43.7619&amp;zoom=12#map=12/33.3542/43.7619","Maplink1")</f>
        <v>Maplink1</v>
      </c>
      <c r="AU27" s="20" t="str">
        <f>HYPERLINK("https://www.google.iq/maps/search/+33.3542,43.7619/@33.3542,43.7619,14z?hl=en","Maplink2")</f>
        <v>Maplink2</v>
      </c>
      <c r="AV27" s="20" t="str">
        <f>HYPERLINK("http://www.bing.com/maps/?lvl=14&amp;sty=h&amp;cp=33.3542~43.7619&amp;sp=point.33.3542_43.7619","Maplink3")</f>
        <v>Maplink3</v>
      </c>
    </row>
    <row r="28" spans="1:48" x14ac:dyDescent="0.25">
      <c r="A28" s="9">
        <v>148</v>
      </c>
      <c r="B28" s="10" t="s">
        <v>8</v>
      </c>
      <c r="C28" s="10" t="s">
        <v>81</v>
      </c>
      <c r="D28" s="10" t="s">
        <v>105</v>
      </c>
      <c r="E28" s="10" t="s">
        <v>106</v>
      </c>
      <c r="F28" s="10">
        <v>33.357218000000003</v>
      </c>
      <c r="G28" s="10">
        <v>43.773294</v>
      </c>
      <c r="H28" s="11">
        <v>1560</v>
      </c>
      <c r="I28" s="11">
        <v>9360</v>
      </c>
      <c r="J28" s="11">
        <v>948</v>
      </c>
      <c r="K28" s="11"/>
      <c r="L28" s="11">
        <v>203</v>
      </c>
      <c r="M28" s="11"/>
      <c r="N28" s="11"/>
      <c r="O28" s="11"/>
      <c r="P28" s="11">
        <v>269</v>
      </c>
      <c r="Q28" s="11"/>
      <c r="R28" s="11"/>
      <c r="S28" s="11"/>
      <c r="T28" s="11"/>
      <c r="U28" s="11"/>
      <c r="V28" s="11"/>
      <c r="W28" s="11"/>
      <c r="X28" s="11"/>
      <c r="Y28" s="11">
        <v>140</v>
      </c>
      <c r="Z28" s="11"/>
      <c r="AA28" s="11"/>
      <c r="AB28" s="11"/>
      <c r="AC28" s="11">
        <v>1560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>
        <v>885</v>
      </c>
      <c r="AN28" s="11"/>
      <c r="AO28" s="11"/>
      <c r="AP28" s="11">
        <v>97</v>
      </c>
      <c r="AQ28" s="11">
        <v>434</v>
      </c>
      <c r="AR28" s="11">
        <v>144</v>
      </c>
      <c r="AS28" s="11"/>
      <c r="AT28" s="20" t="str">
        <f>HYPERLINK("http://www.openstreetmap.org/?mlat=33.3572&amp;mlon=43.7733&amp;zoom=12#map=12/33.3572/43.7733","Maplink1")</f>
        <v>Maplink1</v>
      </c>
      <c r="AU28" s="20" t="str">
        <f>HYPERLINK("https://www.google.iq/maps/search/+33.3572,43.7733/@33.3572,43.7733,14z?hl=en","Maplink2")</f>
        <v>Maplink2</v>
      </c>
      <c r="AV28" s="20" t="str">
        <f>HYPERLINK("http://www.bing.com/maps/?lvl=14&amp;sty=h&amp;cp=33.3572~43.7733&amp;sp=point.33.3572_43.7733","Maplink3")</f>
        <v>Maplink3</v>
      </c>
    </row>
    <row r="29" spans="1:48" x14ac:dyDescent="0.25">
      <c r="A29" s="9">
        <v>21615</v>
      </c>
      <c r="B29" s="10" t="s">
        <v>8</v>
      </c>
      <c r="C29" s="10" t="s">
        <v>81</v>
      </c>
      <c r="D29" s="10" t="s">
        <v>1127</v>
      </c>
      <c r="E29" s="10" t="s">
        <v>118</v>
      </c>
      <c r="F29" s="10">
        <v>33.383080999999997</v>
      </c>
      <c r="G29" s="10">
        <v>43.698594</v>
      </c>
      <c r="H29" s="11">
        <v>425</v>
      </c>
      <c r="I29" s="11">
        <v>2550</v>
      </c>
      <c r="J29" s="11">
        <v>425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>
        <v>425</v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>
        <v>316</v>
      </c>
      <c r="AN29" s="11"/>
      <c r="AO29" s="11"/>
      <c r="AP29" s="11"/>
      <c r="AQ29" s="11">
        <v>109</v>
      </c>
      <c r="AR29" s="11"/>
      <c r="AS29" s="11"/>
      <c r="AT29" s="20" t="str">
        <f>HYPERLINK("http://www.openstreetmap.org/?mlat=33.3831&amp;mlon=43.6986&amp;zoom=12#map=12/33.3831/43.6986","Maplink1")</f>
        <v>Maplink1</v>
      </c>
      <c r="AU29" s="20" t="str">
        <f>HYPERLINK("https://www.google.iq/maps/search/+33.3831,43.6986/@33.3831,43.6986,14z?hl=en","Maplink2")</f>
        <v>Maplink2</v>
      </c>
      <c r="AV29" s="20" t="str">
        <f>HYPERLINK("http://www.bing.com/maps/?lvl=14&amp;sty=h&amp;cp=33.3831~43.6986&amp;sp=point.33.3831_43.6986","Maplink3")</f>
        <v>Maplink3</v>
      </c>
    </row>
    <row r="30" spans="1:48" x14ac:dyDescent="0.25">
      <c r="A30" s="9">
        <v>289</v>
      </c>
      <c r="B30" s="10" t="s">
        <v>8</v>
      </c>
      <c r="C30" s="10" t="s">
        <v>81</v>
      </c>
      <c r="D30" s="10" t="s">
        <v>109</v>
      </c>
      <c r="E30" s="10" t="s">
        <v>110</v>
      </c>
      <c r="F30" s="10">
        <v>33.333191999999997</v>
      </c>
      <c r="G30" s="10">
        <v>43.717154000000001</v>
      </c>
      <c r="H30" s="11">
        <v>348</v>
      </c>
      <c r="I30" s="11">
        <v>2088</v>
      </c>
      <c r="J30" s="11">
        <v>348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>
        <v>348</v>
      </c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>
        <v>80</v>
      </c>
      <c r="AQ30" s="11">
        <v>268</v>
      </c>
      <c r="AR30" s="11"/>
      <c r="AS30" s="11"/>
      <c r="AT30" s="20" t="str">
        <f>HYPERLINK("http://www.openstreetmap.org/?mlat=33.3332&amp;mlon=43.7172&amp;zoom=12#map=12/33.3332/43.7172","Maplink1")</f>
        <v>Maplink1</v>
      </c>
      <c r="AU30" s="20" t="str">
        <f>HYPERLINK("https://www.google.iq/maps/search/+33.3332,43.7172/@33.3332,43.7172,14z?hl=en","Maplink2")</f>
        <v>Maplink2</v>
      </c>
      <c r="AV30" s="20" t="str">
        <f>HYPERLINK("http://www.bing.com/maps/?lvl=14&amp;sty=h&amp;cp=33.3332~43.7172&amp;sp=point.33.3332_43.7172","Maplink3")</f>
        <v>Maplink3</v>
      </c>
    </row>
    <row r="31" spans="1:48" x14ac:dyDescent="0.25">
      <c r="A31" s="9">
        <v>324</v>
      </c>
      <c r="B31" s="10" t="s">
        <v>8</v>
      </c>
      <c r="C31" s="10" t="s">
        <v>81</v>
      </c>
      <c r="D31" s="10" t="s">
        <v>1128</v>
      </c>
      <c r="E31" s="10" t="s">
        <v>108</v>
      </c>
      <c r="F31" s="10">
        <v>33.310020999999999</v>
      </c>
      <c r="G31" s="10">
        <v>43.742995000000001</v>
      </c>
      <c r="H31" s="11">
        <v>373</v>
      </c>
      <c r="I31" s="11">
        <v>2238</v>
      </c>
      <c r="J31" s="11">
        <v>213</v>
      </c>
      <c r="K31" s="11"/>
      <c r="L31" s="11"/>
      <c r="M31" s="11"/>
      <c r="N31" s="11"/>
      <c r="O31" s="11"/>
      <c r="P31" s="11">
        <v>160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>
        <v>373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>
        <v>328</v>
      </c>
      <c r="AN31" s="11"/>
      <c r="AO31" s="11"/>
      <c r="AP31" s="11">
        <v>45</v>
      </c>
      <c r="AQ31" s="11"/>
      <c r="AR31" s="11"/>
      <c r="AS31" s="11"/>
      <c r="AT31" s="20" t="str">
        <f>HYPERLINK("http://www.openstreetmap.org/?mlat=33.31&amp;mlon=43.743&amp;zoom=12#map=12/33.31/43.743","Maplink1")</f>
        <v>Maplink1</v>
      </c>
      <c r="AU31" s="20" t="str">
        <f>HYPERLINK("https://www.google.iq/maps/search/+33.31,43.743/@33.31,43.743,14z?hl=en","Maplink2")</f>
        <v>Maplink2</v>
      </c>
      <c r="AV31" s="20" t="str">
        <f>HYPERLINK("http://www.bing.com/maps/?lvl=14&amp;sty=h&amp;cp=33.31~43.743&amp;sp=point.33.31_43.743","Maplink3")</f>
        <v>Maplink3</v>
      </c>
    </row>
    <row r="32" spans="1:48" x14ac:dyDescent="0.25">
      <c r="A32" s="9">
        <v>315</v>
      </c>
      <c r="B32" s="10" t="s">
        <v>8</v>
      </c>
      <c r="C32" s="10" t="s">
        <v>81</v>
      </c>
      <c r="D32" s="10" t="s">
        <v>1129</v>
      </c>
      <c r="E32" s="10" t="s">
        <v>134</v>
      </c>
      <c r="F32" s="10">
        <v>33.391424000000001</v>
      </c>
      <c r="G32" s="10">
        <v>43.832222999999999</v>
      </c>
      <c r="H32" s="11">
        <v>875</v>
      </c>
      <c r="I32" s="11">
        <v>5250</v>
      </c>
      <c r="J32" s="11">
        <v>787</v>
      </c>
      <c r="K32" s="11"/>
      <c r="L32" s="11"/>
      <c r="M32" s="11"/>
      <c r="N32" s="11"/>
      <c r="O32" s="11"/>
      <c r="P32" s="11">
        <v>88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>
        <v>875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>
        <v>260</v>
      </c>
      <c r="AN32" s="11">
        <v>88</v>
      </c>
      <c r="AO32" s="11"/>
      <c r="AP32" s="11"/>
      <c r="AQ32" s="11">
        <v>527</v>
      </c>
      <c r="AR32" s="11"/>
      <c r="AS32" s="11"/>
      <c r="AT32" s="20" t="str">
        <f>HYPERLINK("http://www.openstreetmap.org/?mlat=33.3914&amp;mlon=43.8322&amp;zoom=12#map=12/33.3914/43.8322","Maplink1")</f>
        <v>Maplink1</v>
      </c>
      <c r="AU32" s="20" t="str">
        <f>HYPERLINK("https://www.google.iq/maps/search/+33.3914,43.8322/@33.3914,43.8322,14z?hl=en","Maplink2")</f>
        <v>Maplink2</v>
      </c>
      <c r="AV32" s="20" t="str">
        <f>HYPERLINK("http://www.bing.com/maps/?lvl=14&amp;sty=h&amp;cp=33.3914~43.8322&amp;sp=point.33.3914_43.8322","Maplink3")</f>
        <v>Maplink3</v>
      </c>
    </row>
    <row r="33" spans="1:48" x14ac:dyDescent="0.25">
      <c r="A33" s="9">
        <v>23802</v>
      </c>
      <c r="B33" s="10" t="s">
        <v>8</v>
      </c>
      <c r="C33" s="10" t="s">
        <v>81</v>
      </c>
      <c r="D33" s="10" t="s">
        <v>1130</v>
      </c>
      <c r="E33" s="10" t="s">
        <v>1131</v>
      </c>
      <c r="F33" s="10">
        <v>33.210510999999997</v>
      </c>
      <c r="G33" s="10">
        <v>43.843657</v>
      </c>
      <c r="H33" s="11">
        <v>70</v>
      </c>
      <c r="I33" s="11">
        <v>420</v>
      </c>
      <c r="J33" s="11">
        <v>70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>
        <v>70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>
        <v>30</v>
      </c>
      <c r="AN33" s="11">
        <v>40</v>
      </c>
      <c r="AO33" s="11"/>
      <c r="AP33" s="11"/>
      <c r="AQ33" s="11"/>
      <c r="AR33" s="11"/>
      <c r="AS33" s="11"/>
      <c r="AT33" s="20" t="str">
        <f>HYPERLINK("http://www.openstreetmap.org/?mlat=33.2105&amp;mlon=43.8437&amp;zoom=12#map=12/33.2105/43.8437","Maplink1")</f>
        <v>Maplink1</v>
      </c>
      <c r="AU33" s="20" t="str">
        <f>HYPERLINK("https://www.google.iq/maps/search/+33.2105,43.8437/@33.2105,43.8437,14z?hl=en","Maplink2")</f>
        <v>Maplink2</v>
      </c>
      <c r="AV33" s="20" t="str">
        <f>HYPERLINK("http://www.bing.com/maps/?lvl=14&amp;sty=h&amp;cp=33.2105~43.8437&amp;sp=point.33.2105_43.8437","Maplink3")</f>
        <v>Maplink3</v>
      </c>
    </row>
    <row r="34" spans="1:48" x14ac:dyDescent="0.25">
      <c r="A34" s="9">
        <v>24107</v>
      </c>
      <c r="B34" s="10" t="s">
        <v>8</v>
      </c>
      <c r="C34" s="10" t="s">
        <v>81</v>
      </c>
      <c r="D34" s="10" t="s">
        <v>1132</v>
      </c>
      <c r="E34" s="10" t="s">
        <v>1246</v>
      </c>
      <c r="F34" s="10">
        <v>33.411884000000001</v>
      </c>
      <c r="G34" s="10">
        <v>43.856551000000003</v>
      </c>
      <c r="H34" s="11">
        <v>814</v>
      </c>
      <c r="I34" s="11">
        <v>4884</v>
      </c>
      <c r="J34" s="11">
        <v>787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>
        <v>27</v>
      </c>
      <c r="Z34" s="11"/>
      <c r="AA34" s="11"/>
      <c r="AB34" s="11"/>
      <c r="AC34" s="11">
        <v>814</v>
      </c>
      <c r="AD34" s="11"/>
      <c r="AE34" s="11"/>
      <c r="AF34" s="11"/>
      <c r="AG34" s="11"/>
      <c r="AH34" s="11"/>
      <c r="AI34" s="11"/>
      <c r="AJ34" s="11"/>
      <c r="AK34" s="11"/>
      <c r="AL34" s="11"/>
      <c r="AM34" s="11">
        <v>371</v>
      </c>
      <c r="AN34" s="11">
        <v>27</v>
      </c>
      <c r="AO34" s="11"/>
      <c r="AP34" s="11"/>
      <c r="AQ34" s="11">
        <v>416</v>
      </c>
      <c r="AR34" s="11"/>
      <c r="AS34" s="11"/>
      <c r="AT34" s="20" t="str">
        <f>HYPERLINK("http://www.openstreetmap.org/?mlat=33.4119&amp;mlon=43.8566&amp;zoom=12#map=12/33.4119/43.8566","Maplink1")</f>
        <v>Maplink1</v>
      </c>
      <c r="AU34" s="20" t="str">
        <f>HYPERLINK("https://www.google.iq/maps/search/+33.4119,43.8566/@33.4119,43.8566,14z?hl=en","Maplink2")</f>
        <v>Maplink2</v>
      </c>
      <c r="AV34" s="20" t="str">
        <f>HYPERLINK("http://www.bing.com/maps/?lvl=14&amp;sty=h&amp;cp=33.4119~43.8566&amp;sp=point.33.4119_43.8566","Maplink3")</f>
        <v>Maplink3</v>
      </c>
    </row>
    <row r="35" spans="1:48" x14ac:dyDescent="0.25">
      <c r="A35" s="9">
        <v>22134</v>
      </c>
      <c r="B35" s="10" t="s">
        <v>8</v>
      </c>
      <c r="C35" s="10" t="s">
        <v>81</v>
      </c>
      <c r="D35" s="10" t="s">
        <v>111</v>
      </c>
      <c r="E35" s="10" t="s">
        <v>112</v>
      </c>
      <c r="F35" s="10">
        <v>33.437325999999999</v>
      </c>
      <c r="G35" s="10">
        <v>43.890464000000001</v>
      </c>
      <c r="H35" s="11">
        <v>1247</v>
      </c>
      <c r="I35" s="11">
        <v>7482</v>
      </c>
      <c r="J35" s="11">
        <v>1185</v>
      </c>
      <c r="K35" s="11"/>
      <c r="L35" s="11"/>
      <c r="M35" s="11"/>
      <c r="N35" s="11"/>
      <c r="O35" s="11"/>
      <c r="P35" s="11">
        <v>62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>
        <v>1247</v>
      </c>
      <c r="AD35" s="11"/>
      <c r="AE35" s="11"/>
      <c r="AF35" s="11"/>
      <c r="AG35" s="11"/>
      <c r="AH35" s="11"/>
      <c r="AI35" s="11"/>
      <c r="AJ35" s="11"/>
      <c r="AK35" s="11"/>
      <c r="AL35" s="11"/>
      <c r="AM35" s="11">
        <v>252</v>
      </c>
      <c r="AN35" s="11"/>
      <c r="AO35" s="11"/>
      <c r="AP35" s="11"/>
      <c r="AQ35" s="11">
        <v>995</v>
      </c>
      <c r="AR35" s="11"/>
      <c r="AS35" s="11"/>
      <c r="AT35" s="20" t="str">
        <f>HYPERLINK("http://www.openstreetmap.org/?mlat=33.4373&amp;mlon=43.8905&amp;zoom=12#map=12/33.4373/43.8905","Maplink1")</f>
        <v>Maplink1</v>
      </c>
      <c r="AU35" s="20" t="str">
        <f>HYPERLINK("https://www.google.iq/maps/search/+33.4373,43.8905/@33.4373,43.8905,14z?hl=en","Maplink2")</f>
        <v>Maplink2</v>
      </c>
      <c r="AV35" s="20" t="str">
        <f>HYPERLINK("http://www.bing.com/maps/?lvl=14&amp;sty=h&amp;cp=33.4373~43.8905&amp;sp=point.33.4373_43.8905","Maplink3")</f>
        <v>Maplink3</v>
      </c>
    </row>
    <row r="36" spans="1:48" x14ac:dyDescent="0.25">
      <c r="A36" s="9">
        <v>318</v>
      </c>
      <c r="B36" s="10" t="s">
        <v>8</v>
      </c>
      <c r="C36" s="10" t="s">
        <v>81</v>
      </c>
      <c r="D36" s="10" t="s">
        <v>113</v>
      </c>
      <c r="E36" s="10" t="s">
        <v>114</v>
      </c>
      <c r="F36" s="10">
        <v>33.465646999999997</v>
      </c>
      <c r="G36" s="10">
        <v>43.908447000000002</v>
      </c>
      <c r="H36" s="11">
        <v>1421</v>
      </c>
      <c r="I36" s="11">
        <v>8526</v>
      </c>
      <c r="J36" s="11">
        <v>1385</v>
      </c>
      <c r="K36" s="11"/>
      <c r="L36" s="11"/>
      <c r="M36" s="11"/>
      <c r="N36" s="11"/>
      <c r="O36" s="11"/>
      <c r="P36" s="11"/>
      <c r="Q36" s="11"/>
      <c r="R36" s="11">
        <v>36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>
        <v>1421</v>
      </c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>
        <v>90</v>
      </c>
      <c r="AO36" s="11"/>
      <c r="AP36" s="11"/>
      <c r="AQ36" s="11">
        <v>1331</v>
      </c>
      <c r="AR36" s="11"/>
      <c r="AS36" s="11"/>
      <c r="AT36" s="20" t="str">
        <f>HYPERLINK("http://www.openstreetmap.org/?mlat=33.4656&amp;mlon=43.9084&amp;zoom=12#map=12/33.4656/43.9084","Maplink1")</f>
        <v>Maplink1</v>
      </c>
      <c r="AU36" s="20" t="str">
        <f>HYPERLINK("https://www.google.iq/maps/search/+33.4656,43.9084/@33.4656,43.9084,14z?hl=en","Maplink2")</f>
        <v>Maplink2</v>
      </c>
      <c r="AV36" s="20" t="str">
        <f>HYPERLINK("http://www.bing.com/maps/?lvl=14&amp;sty=h&amp;cp=33.4656~43.9084&amp;sp=point.33.4656_43.9084","Maplink3")</f>
        <v>Maplink3</v>
      </c>
    </row>
    <row r="37" spans="1:48" x14ac:dyDescent="0.25">
      <c r="A37" s="9">
        <v>21201</v>
      </c>
      <c r="B37" s="10" t="s">
        <v>8</v>
      </c>
      <c r="C37" s="10" t="s">
        <v>81</v>
      </c>
      <c r="D37" s="10" t="s">
        <v>116</v>
      </c>
      <c r="E37" s="10" t="s">
        <v>117</v>
      </c>
      <c r="F37" s="10">
        <v>33.415022999999998</v>
      </c>
      <c r="G37" s="10">
        <v>43.702190000000002</v>
      </c>
      <c r="H37" s="11">
        <v>795</v>
      </c>
      <c r="I37" s="11">
        <v>4770</v>
      </c>
      <c r="J37" s="11">
        <v>795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795</v>
      </c>
      <c r="AD37" s="11"/>
      <c r="AE37" s="11"/>
      <c r="AF37" s="11"/>
      <c r="AG37" s="11"/>
      <c r="AH37" s="11"/>
      <c r="AI37" s="11"/>
      <c r="AJ37" s="11"/>
      <c r="AK37" s="11"/>
      <c r="AL37" s="11"/>
      <c r="AM37" s="11">
        <v>795</v>
      </c>
      <c r="AN37" s="11"/>
      <c r="AO37" s="11"/>
      <c r="AP37" s="11"/>
      <c r="AQ37" s="11"/>
      <c r="AR37" s="11"/>
      <c r="AS37" s="11"/>
      <c r="AT37" s="20" t="str">
        <f>HYPERLINK("http://www.openstreetmap.org/?mlat=33.415&amp;mlon=43.7022&amp;zoom=12#map=12/33.415/43.7022","Maplink1")</f>
        <v>Maplink1</v>
      </c>
      <c r="AU37" s="20" t="str">
        <f>HYPERLINK("https://www.google.iq/maps/search/+33.415,43.7022/@33.415,43.7022,14z?hl=en","Maplink2")</f>
        <v>Maplink2</v>
      </c>
      <c r="AV37" s="20" t="str">
        <f>HYPERLINK("http://www.bing.com/maps/?lvl=14&amp;sty=h&amp;cp=33.415~43.7022&amp;sp=point.33.415_43.7022","Maplink3")</f>
        <v>Maplink3</v>
      </c>
    </row>
    <row r="38" spans="1:48" x14ac:dyDescent="0.25">
      <c r="A38" s="9">
        <v>22606</v>
      </c>
      <c r="B38" s="10" t="s">
        <v>8</v>
      </c>
      <c r="C38" s="10" t="s">
        <v>81</v>
      </c>
      <c r="D38" s="10" t="s">
        <v>1133</v>
      </c>
      <c r="E38" s="10" t="s">
        <v>115</v>
      </c>
      <c r="F38" s="10">
        <v>33.382564000000002</v>
      </c>
      <c r="G38" s="10">
        <v>43.626503999999997</v>
      </c>
      <c r="H38" s="11">
        <v>543</v>
      </c>
      <c r="I38" s="11">
        <v>3258</v>
      </c>
      <c r="J38" s="11">
        <v>543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>
        <v>543</v>
      </c>
      <c r="AD38" s="11"/>
      <c r="AE38" s="11"/>
      <c r="AF38" s="11"/>
      <c r="AG38" s="11"/>
      <c r="AH38" s="11"/>
      <c r="AI38" s="11"/>
      <c r="AJ38" s="11"/>
      <c r="AK38" s="11"/>
      <c r="AL38" s="11"/>
      <c r="AM38" s="11">
        <v>510</v>
      </c>
      <c r="AN38" s="11"/>
      <c r="AO38" s="11"/>
      <c r="AP38" s="11"/>
      <c r="AQ38" s="11">
        <v>33</v>
      </c>
      <c r="AR38" s="11"/>
      <c r="AS38" s="11"/>
      <c r="AT38" s="20" t="str">
        <f>HYPERLINK("http://www.openstreetmap.org/?mlat=33.3826&amp;mlon=43.6265&amp;zoom=12#map=12/33.3826/43.6265","Maplink1")</f>
        <v>Maplink1</v>
      </c>
      <c r="AU38" s="20" t="str">
        <f>HYPERLINK("https://www.google.iq/maps/search/+33.3826,43.6265/@33.3826,43.6265,14z?hl=en","Maplink2")</f>
        <v>Maplink2</v>
      </c>
      <c r="AV38" s="20" t="str">
        <f>HYPERLINK("http://www.bing.com/maps/?lvl=14&amp;sty=h&amp;cp=33.3826~43.6265&amp;sp=point.33.3826_43.6265","Maplink3")</f>
        <v>Maplink3</v>
      </c>
    </row>
    <row r="39" spans="1:48" x14ac:dyDescent="0.25">
      <c r="A39" s="9">
        <v>300</v>
      </c>
      <c r="B39" s="10" t="s">
        <v>8</v>
      </c>
      <c r="C39" s="10" t="s">
        <v>81</v>
      </c>
      <c r="D39" s="10" t="s">
        <v>119</v>
      </c>
      <c r="E39" s="10" t="s">
        <v>120</v>
      </c>
      <c r="F39" s="10">
        <v>33.410513000000002</v>
      </c>
      <c r="G39" s="10">
        <v>43.861687000000003</v>
      </c>
      <c r="H39" s="11">
        <v>896</v>
      </c>
      <c r="I39" s="11">
        <v>5376</v>
      </c>
      <c r="J39" s="11">
        <v>798</v>
      </c>
      <c r="K39" s="11"/>
      <c r="L39" s="11"/>
      <c r="M39" s="11"/>
      <c r="N39" s="11"/>
      <c r="O39" s="11"/>
      <c r="P39" s="11"/>
      <c r="Q39" s="11"/>
      <c r="R39" s="11">
        <v>98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>
        <v>896</v>
      </c>
      <c r="AD39" s="11"/>
      <c r="AE39" s="11"/>
      <c r="AF39" s="11"/>
      <c r="AG39" s="11"/>
      <c r="AH39" s="11"/>
      <c r="AI39" s="11"/>
      <c r="AJ39" s="11"/>
      <c r="AK39" s="11"/>
      <c r="AL39" s="11"/>
      <c r="AM39" s="11">
        <v>117</v>
      </c>
      <c r="AN39" s="11">
        <v>98</v>
      </c>
      <c r="AO39" s="11"/>
      <c r="AP39" s="11"/>
      <c r="AQ39" s="11">
        <v>681</v>
      </c>
      <c r="AR39" s="11"/>
      <c r="AS39" s="11"/>
      <c r="AT39" s="20" t="str">
        <f>HYPERLINK("http://www.openstreetmap.org/?mlat=33.4105&amp;mlon=43.8617&amp;zoom=12#map=12/33.4105/43.8617","Maplink1")</f>
        <v>Maplink1</v>
      </c>
      <c r="AU39" s="20" t="str">
        <f>HYPERLINK("https://www.google.iq/maps/search/+33.4105,43.8617/@33.4105,43.8617,14z?hl=en","Maplink2")</f>
        <v>Maplink2</v>
      </c>
      <c r="AV39" s="20" t="str">
        <f>HYPERLINK("http://www.bing.com/maps/?lvl=14&amp;sty=h&amp;cp=33.4105~43.8617&amp;sp=point.33.4105_43.8617","Maplink3")</f>
        <v>Maplink3</v>
      </c>
    </row>
    <row r="40" spans="1:48" x14ac:dyDescent="0.25">
      <c r="A40" s="9">
        <v>22706</v>
      </c>
      <c r="B40" s="10" t="s">
        <v>8</v>
      </c>
      <c r="C40" s="10" t="s">
        <v>81</v>
      </c>
      <c r="D40" s="10" t="s">
        <v>1134</v>
      </c>
      <c r="E40" s="10" t="s">
        <v>124</v>
      </c>
      <c r="F40" s="10">
        <v>33.337484000000003</v>
      </c>
      <c r="G40" s="10">
        <v>43.701182000000003</v>
      </c>
      <c r="H40" s="11">
        <v>1825</v>
      </c>
      <c r="I40" s="11">
        <v>10950</v>
      </c>
      <c r="J40" s="11">
        <v>910</v>
      </c>
      <c r="K40" s="11"/>
      <c r="L40" s="11">
        <v>300</v>
      </c>
      <c r="M40" s="11"/>
      <c r="N40" s="11"/>
      <c r="O40" s="11"/>
      <c r="P40" s="11">
        <v>210</v>
      </c>
      <c r="Q40" s="11"/>
      <c r="R40" s="11">
        <v>192</v>
      </c>
      <c r="S40" s="11"/>
      <c r="T40" s="11"/>
      <c r="U40" s="11"/>
      <c r="V40" s="11"/>
      <c r="W40" s="11"/>
      <c r="X40" s="11"/>
      <c r="Y40" s="11">
        <v>213</v>
      </c>
      <c r="Z40" s="11"/>
      <c r="AA40" s="11"/>
      <c r="AB40" s="11"/>
      <c r="AC40" s="11">
        <v>1825</v>
      </c>
      <c r="AD40" s="11"/>
      <c r="AE40" s="11"/>
      <c r="AF40" s="11"/>
      <c r="AG40" s="11"/>
      <c r="AH40" s="11"/>
      <c r="AI40" s="11"/>
      <c r="AJ40" s="11"/>
      <c r="AK40" s="11"/>
      <c r="AL40" s="11"/>
      <c r="AM40" s="11">
        <v>972</v>
      </c>
      <c r="AN40" s="11"/>
      <c r="AO40" s="11"/>
      <c r="AP40" s="11">
        <v>98</v>
      </c>
      <c r="AQ40" s="11">
        <v>614</v>
      </c>
      <c r="AR40" s="11">
        <v>141</v>
      </c>
      <c r="AS40" s="11"/>
      <c r="AT40" s="20" t="str">
        <f>HYPERLINK("http://www.openstreetmap.org/?mlat=33.3375&amp;mlon=43.7012&amp;zoom=12#map=12/33.3375/43.7012","Maplink1")</f>
        <v>Maplink1</v>
      </c>
      <c r="AU40" s="20" t="str">
        <f>HYPERLINK("https://www.google.iq/maps/search/+33.3375,43.7012/@33.3375,43.7012,14z?hl=en","Maplink2")</f>
        <v>Maplink2</v>
      </c>
      <c r="AV40" s="20" t="str">
        <f>HYPERLINK("http://www.bing.com/maps/?lvl=14&amp;sty=h&amp;cp=33.3375~43.7012&amp;sp=point.33.3375_43.7012","Maplink3")</f>
        <v>Maplink3</v>
      </c>
    </row>
    <row r="41" spans="1:48" x14ac:dyDescent="0.25">
      <c r="A41" s="9">
        <v>126</v>
      </c>
      <c r="B41" s="10" t="s">
        <v>8</v>
      </c>
      <c r="C41" s="10" t="s">
        <v>81</v>
      </c>
      <c r="D41" s="10" t="s">
        <v>121</v>
      </c>
      <c r="E41" s="10" t="s">
        <v>122</v>
      </c>
      <c r="F41" s="10">
        <v>33.365057</v>
      </c>
      <c r="G41" s="10">
        <v>43.770511999999997</v>
      </c>
      <c r="H41" s="11">
        <v>1738</v>
      </c>
      <c r="I41" s="11">
        <v>10428</v>
      </c>
      <c r="J41" s="11">
        <v>1142</v>
      </c>
      <c r="K41" s="11"/>
      <c r="L41" s="11"/>
      <c r="M41" s="11"/>
      <c r="N41" s="11"/>
      <c r="O41" s="11"/>
      <c r="P41" s="11">
        <v>290</v>
      </c>
      <c r="Q41" s="11"/>
      <c r="R41" s="11">
        <v>111</v>
      </c>
      <c r="S41" s="11"/>
      <c r="T41" s="11"/>
      <c r="U41" s="11"/>
      <c r="V41" s="11"/>
      <c r="W41" s="11"/>
      <c r="X41" s="11"/>
      <c r="Y41" s="11">
        <v>195</v>
      </c>
      <c r="Z41" s="11"/>
      <c r="AA41" s="11"/>
      <c r="AB41" s="11"/>
      <c r="AC41" s="11">
        <v>1738</v>
      </c>
      <c r="AD41" s="11"/>
      <c r="AE41" s="11"/>
      <c r="AF41" s="11"/>
      <c r="AG41" s="11"/>
      <c r="AH41" s="11"/>
      <c r="AI41" s="11"/>
      <c r="AJ41" s="11"/>
      <c r="AK41" s="11"/>
      <c r="AL41" s="11"/>
      <c r="AM41" s="11">
        <v>666</v>
      </c>
      <c r="AN41" s="11"/>
      <c r="AO41" s="11"/>
      <c r="AP41" s="11">
        <v>260</v>
      </c>
      <c r="AQ41" s="11">
        <v>812</v>
      </c>
      <c r="AR41" s="11"/>
      <c r="AS41" s="11"/>
      <c r="AT41" s="20" t="str">
        <f>HYPERLINK("http://www.openstreetmap.org/?mlat=33.3651&amp;mlon=43.7705&amp;zoom=12#map=12/33.3651/43.7705","Maplink1")</f>
        <v>Maplink1</v>
      </c>
      <c r="AU41" s="20" t="str">
        <f>HYPERLINK("https://www.google.iq/maps/search/+33.3651,43.7705/@33.3651,43.7705,14z?hl=en","Maplink2")</f>
        <v>Maplink2</v>
      </c>
      <c r="AV41" s="20" t="str">
        <f>HYPERLINK("http://www.bing.com/maps/?lvl=14&amp;sty=h&amp;cp=33.3651~43.7705&amp;sp=point.33.3651_43.7705","Maplink3")</f>
        <v>Maplink3</v>
      </c>
    </row>
    <row r="42" spans="1:48" x14ac:dyDescent="0.25">
      <c r="A42" s="9">
        <v>24106</v>
      </c>
      <c r="B42" s="10" t="s">
        <v>8</v>
      </c>
      <c r="C42" s="10" t="s">
        <v>81</v>
      </c>
      <c r="D42" s="10" t="s">
        <v>1247</v>
      </c>
      <c r="E42" s="10" t="s">
        <v>123</v>
      </c>
      <c r="F42" s="10">
        <v>33.406427999999998</v>
      </c>
      <c r="G42" s="10">
        <v>43.923875000000002</v>
      </c>
      <c r="H42" s="11">
        <v>451</v>
      </c>
      <c r="I42" s="11">
        <v>2706</v>
      </c>
      <c r="J42" s="11">
        <v>406</v>
      </c>
      <c r="K42" s="11"/>
      <c r="L42" s="11"/>
      <c r="M42" s="11"/>
      <c r="N42" s="11"/>
      <c r="O42" s="11"/>
      <c r="P42" s="11">
        <v>45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>
        <v>451</v>
      </c>
      <c r="AD42" s="11"/>
      <c r="AE42" s="11"/>
      <c r="AF42" s="11"/>
      <c r="AG42" s="11"/>
      <c r="AH42" s="11"/>
      <c r="AI42" s="11"/>
      <c r="AJ42" s="11"/>
      <c r="AK42" s="11"/>
      <c r="AL42" s="11"/>
      <c r="AM42" s="11">
        <v>152</v>
      </c>
      <c r="AN42" s="11">
        <v>98</v>
      </c>
      <c r="AO42" s="11"/>
      <c r="AP42" s="11"/>
      <c r="AQ42" s="11">
        <v>201</v>
      </c>
      <c r="AR42" s="11"/>
      <c r="AS42" s="11"/>
      <c r="AT42" s="20" t="str">
        <f>HYPERLINK("http://www.openstreetmap.org/?mlat=33.4064&amp;mlon=43.9239&amp;zoom=12#map=12/33.4064/43.9239","Maplink1")</f>
        <v>Maplink1</v>
      </c>
      <c r="AU42" s="20" t="str">
        <f>HYPERLINK("https://www.google.iq/maps/search/+33.4064,43.9239/@33.4064,43.9239,14z?hl=en","Maplink2")</f>
        <v>Maplink2</v>
      </c>
      <c r="AV42" s="20" t="str">
        <f>HYPERLINK("http://www.bing.com/maps/?lvl=14&amp;sty=h&amp;cp=33.4064~43.9239&amp;sp=point.33.4064_43.9239","Maplink3")</f>
        <v>Maplink3</v>
      </c>
    </row>
    <row r="43" spans="1:48" x14ac:dyDescent="0.25">
      <c r="A43" s="9">
        <v>128</v>
      </c>
      <c r="B43" s="10" t="s">
        <v>8</v>
      </c>
      <c r="C43" s="10" t="s">
        <v>81</v>
      </c>
      <c r="D43" s="10" t="s">
        <v>125</v>
      </c>
      <c r="E43" s="10" t="s">
        <v>126</v>
      </c>
      <c r="F43" s="10">
        <v>33.359285</v>
      </c>
      <c r="G43" s="10">
        <v>43.807626999999997</v>
      </c>
      <c r="H43" s="11">
        <v>3217</v>
      </c>
      <c r="I43" s="11">
        <v>19302</v>
      </c>
      <c r="J43" s="11">
        <v>1483</v>
      </c>
      <c r="K43" s="11"/>
      <c r="L43" s="11">
        <v>374</v>
      </c>
      <c r="M43" s="11"/>
      <c r="N43" s="11"/>
      <c r="O43" s="11"/>
      <c r="P43" s="11">
        <v>710</v>
      </c>
      <c r="Q43" s="11"/>
      <c r="R43" s="11">
        <v>328</v>
      </c>
      <c r="S43" s="11"/>
      <c r="T43" s="11"/>
      <c r="U43" s="11"/>
      <c r="V43" s="11"/>
      <c r="W43" s="11"/>
      <c r="X43" s="11"/>
      <c r="Y43" s="11">
        <v>322</v>
      </c>
      <c r="Z43" s="11"/>
      <c r="AA43" s="11"/>
      <c r="AB43" s="11"/>
      <c r="AC43" s="11">
        <v>3169</v>
      </c>
      <c r="AD43" s="11"/>
      <c r="AE43" s="11"/>
      <c r="AF43" s="11"/>
      <c r="AG43" s="11"/>
      <c r="AH43" s="11"/>
      <c r="AI43" s="11">
        <v>48</v>
      </c>
      <c r="AJ43" s="11"/>
      <c r="AK43" s="11"/>
      <c r="AL43" s="11"/>
      <c r="AM43" s="11">
        <v>1539</v>
      </c>
      <c r="AN43" s="11">
        <v>530</v>
      </c>
      <c r="AO43" s="11"/>
      <c r="AP43" s="11">
        <v>109</v>
      </c>
      <c r="AQ43" s="11">
        <v>798</v>
      </c>
      <c r="AR43" s="11">
        <v>241</v>
      </c>
      <c r="AS43" s="11"/>
      <c r="AT43" s="20" t="str">
        <f>HYPERLINK("http://www.openstreetmap.org/?mlat=33.3593&amp;mlon=43.8076&amp;zoom=12#map=12/33.3593/43.8076","Maplink1")</f>
        <v>Maplink1</v>
      </c>
      <c r="AU43" s="20" t="str">
        <f>HYPERLINK("https://www.google.iq/maps/search/+33.3593,43.8076/@33.3593,43.8076,14z?hl=en","Maplink2")</f>
        <v>Maplink2</v>
      </c>
      <c r="AV43" s="20" t="str">
        <f>HYPERLINK("http://www.bing.com/maps/?lvl=14&amp;sty=h&amp;cp=33.3593~43.8076&amp;sp=point.33.3593_43.8076","Maplink3")</f>
        <v>Maplink3</v>
      </c>
    </row>
    <row r="44" spans="1:48" x14ac:dyDescent="0.25">
      <c r="A44" s="9">
        <v>125</v>
      </c>
      <c r="B44" s="10" t="s">
        <v>8</v>
      </c>
      <c r="C44" s="10" t="s">
        <v>81</v>
      </c>
      <c r="D44" s="10" t="s">
        <v>127</v>
      </c>
      <c r="E44" s="10" t="s">
        <v>128</v>
      </c>
      <c r="F44" s="10">
        <v>33.357909999999997</v>
      </c>
      <c r="G44" s="10">
        <v>43.795484999999999</v>
      </c>
      <c r="H44" s="11">
        <v>2880</v>
      </c>
      <c r="I44" s="11">
        <v>17280</v>
      </c>
      <c r="J44" s="11">
        <v>1686</v>
      </c>
      <c r="K44" s="11"/>
      <c r="L44" s="11">
        <v>486</v>
      </c>
      <c r="M44" s="11"/>
      <c r="N44" s="11"/>
      <c r="O44" s="11"/>
      <c r="P44" s="11">
        <v>410</v>
      </c>
      <c r="Q44" s="11"/>
      <c r="R44" s="11">
        <v>98</v>
      </c>
      <c r="S44" s="11"/>
      <c r="T44" s="11"/>
      <c r="U44" s="11"/>
      <c r="V44" s="11"/>
      <c r="W44" s="11"/>
      <c r="X44" s="11"/>
      <c r="Y44" s="11">
        <v>200</v>
      </c>
      <c r="Z44" s="11"/>
      <c r="AA44" s="11"/>
      <c r="AB44" s="11"/>
      <c r="AC44" s="11">
        <v>2880</v>
      </c>
      <c r="AD44" s="11"/>
      <c r="AE44" s="11"/>
      <c r="AF44" s="11"/>
      <c r="AG44" s="11"/>
      <c r="AH44" s="11"/>
      <c r="AI44" s="11"/>
      <c r="AJ44" s="11"/>
      <c r="AK44" s="11"/>
      <c r="AL44" s="11"/>
      <c r="AM44" s="11">
        <v>1349</v>
      </c>
      <c r="AN44" s="11"/>
      <c r="AO44" s="11"/>
      <c r="AP44" s="11">
        <v>118</v>
      </c>
      <c r="AQ44" s="11">
        <v>889</v>
      </c>
      <c r="AR44" s="11">
        <v>524</v>
      </c>
      <c r="AS44" s="11"/>
      <c r="AT44" s="20" t="str">
        <f>HYPERLINK("http://www.openstreetmap.org/?mlat=33.3579&amp;mlon=43.7955&amp;zoom=12#map=12/33.3579/43.7955","Maplink1")</f>
        <v>Maplink1</v>
      </c>
      <c r="AU44" s="20" t="str">
        <f>HYPERLINK("https://www.google.iq/maps/search/+33.3579,43.7955/@33.3579,43.7955,14z?hl=en","Maplink2")</f>
        <v>Maplink2</v>
      </c>
      <c r="AV44" s="20" t="str">
        <f>HYPERLINK("http://www.bing.com/maps/?lvl=14&amp;sty=h&amp;cp=33.3579~43.7955&amp;sp=point.33.3579_43.7955","Maplink3")</f>
        <v>Maplink3</v>
      </c>
    </row>
    <row r="45" spans="1:48" x14ac:dyDescent="0.25">
      <c r="A45" s="9">
        <v>21809</v>
      </c>
      <c r="B45" s="10" t="s">
        <v>8</v>
      </c>
      <c r="C45" s="10" t="s">
        <v>81</v>
      </c>
      <c r="D45" s="10" t="s">
        <v>1248</v>
      </c>
      <c r="E45" s="10" t="s">
        <v>232</v>
      </c>
      <c r="F45" s="10">
        <v>33.334650000000003</v>
      </c>
      <c r="G45" s="10">
        <v>43.792110000000001</v>
      </c>
      <c r="H45" s="11">
        <v>610</v>
      </c>
      <c r="I45" s="11">
        <v>3660</v>
      </c>
      <c r="J45" s="11">
        <v>420</v>
      </c>
      <c r="K45" s="11"/>
      <c r="L45" s="11">
        <v>190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>
        <v>610</v>
      </c>
      <c r="AD45" s="11"/>
      <c r="AE45" s="11"/>
      <c r="AF45" s="11"/>
      <c r="AG45" s="11"/>
      <c r="AH45" s="11"/>
      <c r="AI45" s="11"/>
      <c r="AJ45" s="11"/>
      <c r="AK45" s="11"/>
      <c r="AL45" s="11"/>
      <c r="AM45" s="11">
        <v>190</v>
      </c>
      <c r="AN45" s="11"/>
      <c r="AO45" s="11"/>
      <c r="AP45" s="11"/>
      <c r="AQ45" s="11"/>
      <c r="AR45" s="11">
        <v>420</v>
      </c>
      <c r="AS45" s="11"/>
      <c r="AT45" s="20" t="str">
        <f>HYPERLINK("http://www.openstreetmap.org/?mlat=33.3347&amp;mlon=43.7921&amp;zoom=12#map=12/33.3347/43.7921","Maplink1")</f>
        <v>Maplink1</v>
      </c>
      <c r="AU45" s="20" t="str">
        <f>HYPERLINK("https://www.google.iq/maps/search/+33.3347,43.7921/@33.3347,43.7921,14z?hl=en","Maplink2")</f>
        <v>Maplink2</v>
      </c>
      <c r="AV45" s="20" t="str">
        <f>HYPERLINK("http://www.bing.com/maps/?lvl=14&amp;sty=h&amp;cp=33.3347~43.7921&amp;sp=point.33.3347_43.7921","Maplink3")</f>
        <v>Maplink3</v>
      </c>
    </row>
    <row r="46" spans="1:48" x14ac:dyDescent="0.25">
      <c r="A46" s="9">
        <v>157</v>
      </c>
      <c r="B46" s="10" t="s">
        <v>8</v>
      </c>
      <c r="C46" s="10" t="s">
        <v>81</v>
      </c>
      <c r="D46" s="10" t="s">
        <v>129</v>
      </c>
      <c r="E46" s="10" t="s">
        <v>130</v>
      </c>
      <c r="F46" s="10">
        <v>33.361175000000003</v>
      </c>
      <c r="G46" s="10">
        <v>43.783220999999998</v>
      </c>
      <c r="H46" s="11">
        <v>1462</v>
      </c>
      <c r="I46" s="11">
        <v>8772</v>
      </c>
      <c r="J46" s="11">
        <v>500</v>
      </c>
      <c r="K46" s="11"/>
      <c r="L46" s="11">
        <v>300</v>
      </c>
      <c r="M46" s="11"/>
      <c r="N46" s="11"/>
      <c r="O46" s="11"/>
      <c r="P46" s="11">
        <v>312</v>
      </c>
      <c r="Q46" s="11"/>
      <c r="R46" s="11">
        <v>128</v>
      </c>
      <c r="S46" s="11"/>
      <c r="T46" s="11"/>
      <c r="U46" s="11"/>
      <c r="V46" s="11"/>
      <c r="W46" s="11"/>
      <c r="X46" s="11">
        <v>80</v>
      </c>
      <c r="Y46" s="11">
        <v>142</v>
      </c>
      <c r="Z46" s="11"/>
      <c r="AA46" s="11"/>
      <c r="AB46" s="11"/>
      <c r="AC46" s="11">
        <v>1462</v>
      </c>
      <c r="AD46" s="11"/>
      <c r="AE46" s="11"/>
      <c r="AF46" s="11"/>
      <c r="AG46" s="11"/>
      <c r="AH46" s="11"/>
      <c r="AI46" s="11"/>
      <c r="AJ46" s="11"/>
      <c r="AK46" s="11"/>
      <c r="AL46" s="11"/>
      <c r="AM46" s="11">
        <v>662</v>
      </c>
      <c r="AN46" s="11"/>
      <c r="AO46" s="11"/>
      <c r="AP46" s="11">
        <v>180</v>
      </c>
      <c r="AQ46" s="11">
        <v>620</v>
      </c>
      <c r="AR46" s="11"/>
      <c r="AS46" s="11"/>
      <c r="AT46" s="20" t="str">
        <f>HYPERLINK("http://www.openstreetmap.org/?mlat=33.3612&amp;mlon=43.7832&amp;zoom=12#map=12/33.3612/43.7832","Maplink1")</f>
        <v>Maplink1</v>
      </c>
      <c r="AU46" s="20" t="str">
        <f>HYPERLINK("https://www.google.iq/maps/search/+33.3612,43.7832/@33.3612,43.7832,14z?hl=en","Maplink2")</f>
        <v>Maplink2</v>
      </c>
      <c r="AV46" s="20" t="str">
        <f>HYPERLINK("http://www.bing.com/maps/?lvl=14&amp;sty=h&amp;cp=33.3612~43.7832&amp;sp=point.33.3612_43.7832","Maplink3")</f>
        <v>Maplink3</v>
      </c>
    </row>
    <row r="47" spans="1:48" x14ac:dyDescent="0.25">
      <c r="A47" s="9">
        <v>121</v>
      </c>
      <c r="B47" s="10" t="s">
        <v>8</v>
      </c>
      <c r="C47" s="10" t="s">
        <v>81</v>
      </c>
      <c r="D47" s="10" t="s">
        <v>131</v>
      </c>
      <c r="E47" s="10" t="s">
        <v>132</v>
      </c>
      <c r="F47" s="10">
        <v>33.34704</v>
      </c>
      <c r="G47" s="10">
        <v>43.781768999999997</v>
      </c>
      <c r="H47" s="11">
        <v>1419</v>
      </c>
      <c r="I47" s="11">
        <v>8514</v>
      </c>
      <c r="J47" s="11">
        <v>1220</v>
      </c>
      <c r="K47" s="11"/>
      <c r="L47" s="11"/>
      <c r="M47" s="11"/>
      <c r="N47" s="11"/>
      <c r="O47" s="11"/>
      <c r="P47" s="11">
        <v>199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>
        <v>1419</v>
      </c>
      <c r="AD47" s="11"/>
      <c r="AE47" s="11"/>
      <c r="AF47" s="11"/>
      <c r="AG47" s="11"/>
      <c r="AH47" s="11"/>
      <c r="AI47" s="11"/>
      <c r="AJ47" s="11"/>
      <c r="AK47" s="11"/>
      <c r="AL47" s="11"/>
      <c r="AM47" s="11">
        <v>293</v>
      </c>
      <c r="AN47" s="11"/>
      <c r="AO47" s="11"/>
      <c r="AP47" s="11">
        <v>120</v>
      </c>
      <c r="AQ47" s="11">
        <v>706</v>
      </c>
      <c r="AR47" s="11">
        <v>300</v>
      </c>
      <c r="AS47" s="11"/>
      <c r="AT47" s="20" t="str">
        <f>HYPERLINK("http://www.openstreetmap.org/?mlat=33.347&amp;mlon=43.7818&amp;zoom=12#map=12/33.347/43.7818","Maplink1")</f>
        <v>Maplink1</v>
      </c>
      <c r="AU47" s="20" t="str">
        <f>HYPERLINK("https://www.google.iq/maps/search/+33.347,43.7818/@33.347,43.7818,14z?hl=en","Maplink2")</f>
        <v>Maplink2</v>
      </c>
      <c r="AV47" s="20" t="str">
        <f>HYPERLINK("http://www.bing.com/maps/?lvl=14&amp;sty=h&amp;cp=33.347~43.7818&amp;sp=point.33.347_43.7818","Maplink3")</f>
        <v>Maplink3</v>
      </c>
    </row>
    <row r="48" spans="1:48" x14ac:dyDescent="0.25">
      <c r="A48" s="9">
        <v>24314</v>
      </c>
      <c r="B48" s="10" t="s">
        <v>8</v>
      </c>
      <c r="C48" s="10" t="s">
        <v>135</v>
      </c>
      <c r="D48" s="10" t="s">
        <v>136</v>
      </c>
      <c r="E48" s="10" t="s">
        <v>137</v>
      </c>
      <c r="F48" s="10">
        <v>34.084608000000003</v>
      </c>
      <c r="G48" s="10">
        <v>42.352733999999998</v>
      </c>
      <c r="H48" s="11">
        <v>370</v>
      </c>
      <c r="I48" s="11">
        <v>2220</v>
      </c>
      <c r="J48" s="11"/>
      <c r="K48" s="11"/>
      <c r="L48" s="11">
        <v>219</v>
      </c>
      <c r="M48" s="11"/>
      <c r="N48" s="11"/>
      <c r="O48" s="11"/>
      <c r="P48" s="11"/>
      <c r="Q48" s="11"/>
      <c r="R48" s="11">
        <v>98</v>
      </c>
      <c r="S48" s="11"/>
      <c r="T48" s="11"/>
      <c r="U48" s="11"/>
      <c r="V48" s="11"/>
      <c r="W48" s="11"/>
      <c r="X48" s="11">
        <v>53</v>
      </c>
      <c r="Y48" s="11"/>
      <c r="Z48" s="11"/>
      <c r="AA48" s="11"/>
      <c r="AB48" s="11"/>
      <c r="AC48" s="11">
        <v>370</v>
      </c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>
        <v>98</v>
      </c>
      <c r="AO48" s="11"/>
      <c r="AP48" s="11">
        <v>53</v>
      </c>
      <c r="AQ48" s="11">
        <v>219</v>
      </c>
      <c r="AR48" s="11"/>
      <c r="AS48" s="11"/>
      <c r="AT48" s="20" t="str">
        <f>HYPERLINK("http://www.openstreetmap.org/?mlat=34.0846&amp;mlon=42.3527&amp;zoom=12#map=12/34.0846/42.3527","Maplink1")</f>
        <v>Maplink1</v>
      </c>
      <c r="AU48" s="20" t="str">
        <f>HYPERLINK("https://www.google.iq/maps/search/+34.0846,42.3527/@34.0846,42.3527,14z?hl=en","Maplink2")</f>
        <v>Maplink2</v>
      </c>
      <c r="AV48" s="20" t="str">
        <f>HYPERLINK("http://www.bing.com/maps/?lvl=14&amp;sty=h&amp;cp=34.0846~42.3527&amp;sp=point.34.0846_42.3527","Maplink3")</f>
        <v>Maplink3</v>
      </c>
    </row>
    <row r="49" spans="1:48" x14ac:dyDescent="0.25">
      <c r="A49" s="9">
        <v>23824</v>
      </c>
      <c r="B49" s="10" t="s">
        <v>8</v>
      </c>
      <c r="C49" s="10" t="s">
        <v>135</v>
      </c>
      <c r="D49" s="10" t="s">
        <v>138</v>
      </c>
      <c r="E49" s="10" t="s">
        <v>139</v>
      </c>
      <c r="F49" s="10">
        <v>34.080872999999997</v>
      </c>
      <c r="G49" s="10">
        <v>42.356968999999999</v>
      </c>
      <c r="H49" s="11">
        <v>511</v>
      </c>
      <c r="I49" s="11">
        <v>3066</v>
      </c>
      <c r="J49" s="11"/>
      <c r="K49" s="11"/>
      <c r="L49" s="11">
        <v>120</v>
      </c>
      <c r="M49" s="11"/>
      <c r="N49" s="11"/>
      <c r="O49" s="11"/>
      <c r="P49" s="11">
        <v>75</v>
      </c>
      <c r="Q49" s="11"/>
      <c r="R49" s="11">
        <v>316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>
        <v>511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>
        <v>195</v>
      </c>
      <c r="AO49" s="11"/>
      <c r="AP49" s="11">
        <v>256</v>
      </c>
      <c r="AQ49" s="11">
        <v>60</v>
      </c>
      <c r="AR49" s="11"/>
      <c r="AS49" s="11"/>
      <c r="AT49" s="20" t="str">
        <f>HYPERLINK("http://www.openstreetmap.org/?mlat=34.0809&amp;mlon=42.357&amp;zoom=12#map=12/34.0809/42.357","Maplink1")</f>
        <v>Maplink1</v>
      </c>
      <c r="AU49" s="20" t="str">
        <f>HYPERLINK("https://www.google.iq/maps/search/+34.0809,42.357/@34.0809,42.357,14z?hl=en","Maplink2")</f>
        <v>Maplink2</v>
      </c>
      <c r="AV49" s="20" t="str">
        <f>HYPERLINK("http://www.bing.com/maps/?lvl=14&amp;sty=h&amp;cp=34.0809~42.357&amp;sp=point.34.0809_42.357","Maplink3")</f>
        <v>Maplink3</v>
      </c>
    </row>
    <row r="50" spans="1:48" x14ac:dyDescent="0.25">
      <c r="A50" s="9">
        <v>23822</v>
      </c>
      <c r="B50" s="10" t="s">
        <v>8</v>
      </c>
      <c r="C50" s="10" t="s">
        <v>135</v>
      </c>
      <c r="D50" s="10" t="s">
        <v>1249</v>
      </c>
      <c r="E50" s="10" t="s">
        <v>1217</v>
      </c>
      <c r="F50" s="10">
        <v>34.006132999999998</v>
      </c>
      <c r="G50" s="10">
        <v>42.428235999999998</v>
      </c>
      <c r="H50" s="11">
        <v>64</v>
      </c>
      <c r="I50" s="11">
        <v>384</v>
      </c>
      <c r="J50" s="11"/>
      <c r="K50" s="11"/>
      <c r="L50" s="11">
        <v>64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>
        <v>64</v>
      </c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>
        <v>64</v>
      </c>
      <c r="AQ50" s="11"/>
      <c r="AR50" s="11"/>
      <c r="AS50" s="11"/>
      <c r="AT50" s="20" t="str">
        <f>HYPERLINK("http://www.openstreetmap.org/?mlat=34.0061&amp;mlon=42.4282&amp;zoom=12#map=12/34.0061/42.4282","Maplink1")</f>
        <v>Maplink1</v>
      </c>
      <c r="AU50" s="20" t="str">
        <f>HYPERLINK("https://www.google.iq/maps/search/+34.0061,42.4282/@34.0061,42.4282,14z?hl=en","Maplink2")</f>
        <v>Maplink2</v>
      </c>
      <c r="AV50" s="20" t="str">
        <f>HYPERLINK("http://www.bing.com/maps/?lvl=14&amp;sty=h&amp;cp=34.0061~42.4282&amp;sp=point.34.0061_42.4282","Maplink3")</f>
        <v>Maplink3</v>
      </c>
    </row>
    <row r="51" spans="1:48" x14ac:dyDescent="0.25">
      <c r="A51" s="9">
        <v>23823</v>
      </c>
      <c r="B51" s="10" t="s">
        <v>8</v>
      </c>
      <c r="C51" s="10" t="s">
        <v>135</v>
      </c>
      <c r="D51" s="10" t="s">
        <v>1250</v>
      </c>
      <c r="E51" s="10" t="s">
        <v>1251</v>
      </c>
      <c r="F51" s="10">
        <v>34.086067</v>
      </c>
      <c r="G51" s="10">
        <v>42.362758999999997</v>
      </c>
      <c r="H51" s="11">
        <v>342</v>
      </c>
      <c r="I51" s="11">
        <v>2052</v>
      </c>
      <c r="J51" s="11">
        <v>85</v>
      </c>
      <c r="K51" s="11"/>
      <c r="L51" s="11"/>
      <c r="M51" s="11"/>
      <c r="N51" s="11"/>
      <c r="O51" s="11"/>
      <c r="P51" s="11">
        <v>185</v>
      </c>
      <c r="Q51" s="11"/>
      <c r="R51" s="11">
        <v>72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>
        <v>342</v>
      </c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>
        <v>72</v>
      </c>
      <c r="AO51" s="11"/>
      <c r="AP51" s="11">
        <v>270</v>
      </c>
      <c r="AQ51" s="11"/>
      <c r="AR51" s="11"/>
      <c r="AS51" s="11"/>
      <c r="AT51" s="20" t="str">
        <f>HYPERLINK("http://www.openstreetmap.org/?mlat=34.0861&amp;mlon=42.3628&amp;zoom=12#map=12/34.0861/42.3628","Maplink1")</f>
        <v>Maplink1</v>
      </c>
      <c r="AU51" s="20" t="str">
        <f>HYPERLINK("https://www.google.iq/maps/search/+34.0861,42.3628/@34.0861,42.3628,14z?hl=en","Maplink2")</f>
        <v>Maplink2</v>
      </c>
      <c r="AV51" s="20" t="str">
        <f>HYPERLINK("http://www.bing.com/maps/?lvl=14&amp;sty=h&amp;cp=34.0861~42.3628&amp;sp=point.34.0861_42.3628","Maplink3")</f>
        <v>Maplink3</v>
      </c>
    </row>
    <row r="52" spans="1:48" x14ac:dyDescent="0.25">
      <c r="A52" s="9">
        <v>23819</v>
      </c>
      <c r="B52" s="10" t="s">
        <v>8</v>
      </c>
      <c r="C52" s="10" t="s">
        <v>135</v>
      </c>
      <c r="D52" s="10" t="s">
        <v>140</v>
      </c>
      <c r="E52" s="10" t="s">
        <v>141</v>
      </c>
      <c r="F52" s="10">
        <v>34.086398000000003</v>
      </c>
      <c r="G52" s="10">
        <v>42.369182000000002</v>
      </c>
      <c r="H52" s="11">
        <v>160</v>
      </c>
      <c r="I52" s="11">
        <v>960</v>
      </c>
      <c r="J52" s="11"/>
      <c r="K52" s="11"/>
      <c r="L52" s="11">
        <v>90</v>
      </c>
      <c r="M52" s="11"/>
      <c r="N52" s="11"/>
      <c r="O52" s="11"/>
      <c r="P52" s="11"/>
      <c r="Q52" s="11"/>
      <c r="R52" s="11">
        <v>70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>
        <v>160</v>
      </c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>
        <v>90</v>
      </c>
      <c r="AO52" s="11"/>
      <c r="AP52" s="11">
        <v>70</v>
      </c>
      <c r="AQ52" s="11"/>
      <c r="AR52" s="11"/>
      <c r="AS52" s="11"/>
      <c r="AT52" s="20" t="str">
        <f>HYPERLINK("http://www.openstreetmap.org/?mlat=34.0864&amp;mlon=42.3692&amp;zoom=12#map=12/34.0864/42.3692","Maplink1")</f>
        <v>Maplink1</v>
      </c>
      <c r="AU52" s="20" t="str">
        <f>HYPERLINK("https://www.google.iq/maps/search/+34.0864,42.3692/@34.0864,42.3692,14z?hl=en","Maplink2")</f>
        <v>Maplink2</v>
      </c>
      <c r="AV52" s="20" t="str">
        <f>HYPERLINK("http://www.bing.com/maps/?lvl=14&amp;sty=h&amp;cp=34.0864~42.3692&amp;sp=point.34.0864_42.3692","Maplink3")</f>
        <v>Maplink3</v>
      </c>
    </row>
    <row r="53" spans="1:48" x14ac:dyDescent="0.25">
      <c r="A53" s="9">
        <v>239</v>
      </c>
      <c r="B53" s="10" t="s">
        <v>8</v>
      </c>
      <c r="C53" s="10" t="s">
        <v>135</v>
      </c>
      <c r="D53" s="10" t="s">
        <v>1135</v>
      </c>
      <c r="E53" s="10" t="s">
        <v>1136</v>
      </c>
      <c r="F53" s="10">
        <v>34.140894000000003</v>
      </c>
      <c r="G53" s="10">
        <v>42.379010000000001</v>
      </c>
      <c r="H53" s="11">
        <v>49</v>
      </c>
      <c r="I53" s="11">
        <v>294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>
        <v>49</v>
      </c>
      <c r="Z53" s="11"/>
      <c r="AA53" s="11"/>
      <c r="AB53" s="11"/>
      <c r="AC53" s="11">
        <v>49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>
        <v>49</v>
      </c>
      <c r="AQ53" s="11"/>
      <c r="AR53" s="11"/>
      <c r="AS53" s="11"/>
      <c r="AT53" s="20" t="str">
        <f>HYPERLINK("http://www.openstreetmap.org/?mlat=34.1409&amp;mlon=42.379&amp;zoom=12#map=12/34.1409/42.379","Maplink1")</f>
        <v>Maplink1</v>
      </c>
      <c r="AU53" s="20" t="str">
        <f>HYPERLINK("https://www.google.iq/maps/search/+34.1409,42.379/@34.1409,42.379,14z?hl=en","Maplink2")</f>
        <v>Maplink2</v>
      </c>
      <c r="AV53" s="20" t="str">
        <f>HYPERLINK("http://www.bing.com/maps/?lvl=14&amp;sty=h&amp;cp=34.1409~42.379&amp;sp=point.34.1409_42.379","Maplink3")</f>
        <v>Maplink3</v>
      </c>
    </row>
    <row r="54" spans="1:48" x14ac:dyDescent="0.25">
      <c r="A54" s="9">
        <v>23820</v>
      </c>
      <c r="B54" s="10" t="s">
        <v>8</v>
      </c>
      <c r="C54" s="10" t="s">
        <v>135</v>
      </c>
      <c r="D54" s="10" t="s">
        <v>1137</v>
      </c>
      <c r="E54" s="10" t="s">
        <v>1138</v>
      </c>
      <c r="F54" s="10">
        <v>34.072929999999999</v>
      </c>
      <c r="G54" s="10">
        <v>42.365861000000002</v>
      </c>
      <c r="H54" s="11">
        <v>135</v>
      </c>
      <c r="I54" s="11">
        <v>810</v>
      </c>
      <c r="J54" s="11"/>
      <c r="K54" s="11"/>
      <c r="L54" s="11">
        <v>87</v>
      </c>
      <c r="M54" s="11"/>
      <c r="N54" s="11"/>
      <c r="O54" s="11"/>
      <c r="P54" s="11"/>
      <c r="Q54" s="11"/>
      <c r="R54" s="11">
        <v>48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>
        <v>135</v>
      </c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>
        <v>48</v>
      </c>
      <c r="AO54" s="11"/>
      <c r="AP54" s="11"/>
      <c r="AQ54" s="11">
        <v>87</v>
      </c>
      <c r="AR54" s="11"/>
      <c r="AS54" s="11"/>
      <c r="AT54" s="20" t="str">
        <f>HYPERLINK("http://www.openstreetmap.org/?mlat=34.0729&amp;mlon=42.3659&amp;zoom=12#map=12/34.0729/42.3659","Maplink1")</f>
        <v>Maplink1</v>
      </c>
      <c r="AU54" s="20" t="str">
        <f>HYPERLINK("https://www.google.iq/maps/search/+34.0729,42.3659/@34.0729,42.3659,14z?hl=en","Maplink2")</f>
        <v>Maplink2</v>
      </c>
      <c r="AV54" s="20" t="str">
        <f>HYPERLINK("http://www.bing.com/maps/?lvl=14&amp;sty=h&amp;cp=34.0729~42.3659&amp;sp=point.34.0729_42.3659","Maplink3")</f>
        <v>Maplink3</v>
      </c>
    </row>
    <row r="55" spans="1:48" x14ac:dyDescent="0.25">
      <c r="A55" s="9">
        <v>100</v>
      </c>
      <c r="B55" s="10" t="s">
        <v>8</v>
      </c>
      <c r="C55" s="10" t="s">
        <v>142</v>
      </c>
      <c r="D55" s="10" t="s">
        <v>143</v>
      </c>
      <c r="E55" s="10" t="s">
        <v>144</v>
      </c>
      <c r="F55" s="10">
        <v>33.508547</v>
      </c>
      <c r="G55" s="10">
        <v>42.963501000000001</v>
      </c>
      <c r="H55" s="11">
        <v>1044</v>
      </c>
      <c r="I55" s="11">
        <v>6264</v>
      </c>
      <c r="J55" s="11">
        <v>748</v>
      </c>
      <c r="K55" s="11"/>
      <c r="L55" s="11">
        <v>148</v>
      </c>
      <c r="M55" s="11"/>
      <c r="N55" s="11"/>
      <c r="O55" s="11"/>
      <c r="P55" s="11"/>
      <c r="Q55" s="11"/>
      <c r="R55" s="11">
        <v>148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>
        <v>1044</v>
      </c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>
        <v>616</v>
      </c>
      <c r="AO55" s="11"/>
      <c r="AP55" s="11">
        <v>323</v>
      </c>
      <c r="AQ55" s="11"/>
      <c r="AR55" s="11">
        <v>105</v>
      </c>
      <c r="AS55" s="11"/>
      <c r="AT55" s="20" t="str">
        <f>HYPERLINK("http://www.openstreetmap.org/?mlat=33.5085&amp;mlon=42.9635&amp;zoom=12#map=12/33.5085/42.9635","Maplink1")</f>
        <v>Maplink1</v>
      </c>
      <c r="AU55" s="20" t="str">
        <f>HYPERLINK("https://www.google.iq/maps/search/+33.5085,42.9635/@33.5085,42.9635,14z?hl=en","Maplink2")</f>
        <v>Maplink2</v>
      </c>
      <c r="AV55" s="20" t="str">
        <f>HYPERLINK("http://www.bing.com/maps/?lvl=14&amp;sty=h&amp;cp=33.5085~42.9635&amp;sp=point.33.5085_42.9635","Maplink3")</f>
        <v>Maplink3</v>
      </c>
    </row>
    <row r="56" spans="1:48" x14ac:dyDescent="0.25">
      <c r="A56" s="9">
        <v>163</v>
      </c>
      <c r="B56" s="10" t="s">
        <v>8</v>
      </c>
      <c r="C56" s="10" t="s">
        <v>142</v>
      </c>
      <c r="D56" s="10" t="s">
        <v>145</v>
      </c>
      <c r="E56" s="10" t="s">
        <v>146</v>
      </c>
      <c r="F56" s="10">
        <v>33.649721</v>
      </c>
      <c r="G56" s="10">
        <v>42.829619000000001</v>
      </c>
      <c r="H56" s="11">
        <v>290</v>
      </c>
      <c r="I56" s="11">
        <v>1740</v>
      </c>
      <c r="J56" s="11">
        <v>160</v>
      </c>
      <c r="K56" s="11"/>
      <c r="L56" s="11"/>
      <c r="M56" s="11"/>
      <c r="N56" s="11"/>
      <c r="O56" s="11"/>
      <c r="P56" s="11">
        <v>85</v>
      </c>
      <c r="Q56" s="11"/>
      <c r="R56" s="11"/>
      <c r="S56" s="11"/>
      <c r="T56" s="11"/>
      <c r="U56" s="11"/>
      <c r="V56" s="11"/>
      <c r="W56" s="11"/>
      <c r="X56" s="11"/>
      <c r="Y56" s="11">
        <v>45</v>
      </c>
      <c r="Z56" s="11"/>
      <c r="AA56" s="11"/>
      <c r="AB56" s="11"/>
      <c r="AC56" s="11">
        <v>290</v>
      </c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>
        <v>85</v>
      </c>
      <c r="AO56" s="11"/>
      <c r="AP56" s="11">
        <v>160</v>
      </c>
      <c r="AQ56" s="11">
        <v>45</v>
      </c>
      <c r="AR56" s="11"/>
      <c r="AS56" s="11"/>
      <c r="AT56" s="20" t="str">
        <f>HYPERLINK("http://www.openstreetmap.org/?mlat=33.6497&amp;mlon=42.8296&amp;zoom=12#map=12/33.6497/42.8296","Maplink1")</f>
        <v>Maplink1</v>
      </c>
      <c r="AU56" s="20" t="str">
        <f>HYPERLINK("https://www.google.iq/maps/search/+33.6497,42.8296/@33.6497,42.8296,14z?hl=en","Maplink2")</f>
        <v>Maplink2</v>
      </c>
      <c r="AV56" s="20" t="str">
        <f>HYPERLINK("http://www.bing.com/maps/?lvl=14&amp;sty=h&amp;cp=33.6497~42.8296&amp;sp=point.33.6497_42.8296","Maplink3")</f>
        <v>Maplink3</v>
      </c>
    </row>
    <row r="57" spans="1:48" x14ac:dyDescent="0.25">
      <c r="A57" s="9">
        <v>21323</v>
      </c>
      <c r="B57" s="10" t="s">
        <v>8</v>
      </c>
      <c r="C57" s="10" t="s">
        <v>142</v>
      </c>
      <c r="D57" s="10" t="s">
        <v>1139</v>
      </c>
      <c r="E57" s="10" t="s">
        <v>153</v>
      </c>
      <c r="F57" s="10">
        <v>33.921731999999999</v>
      </c>
      <c r="G57" s="10">
        <v>42.524161999999997</v>
      </c>
      <c r="H57" s="11">
        <v>302</v>
      </c>
      <c r="I57" s="11">
        <v>1812</v>
      </c>
      <c r="J57" s="11"/>
      <c r="K57" s="11"/>
      <c r="L57" s="11">
        <v>227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>
        <v>75</v>
      </c>
      <c r="Z57" s="11"/>
      <c r="AA57" s="11"/>
      <c r="AB57" s="11"/>
      <c r="AC57" s="11">
        <v>302</v>
      </c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>
        <v>98</v>
      </c>
      <c r="AO57" s="11"/>
      <c r="AP57" s="11">
        <v>129</v>
      </c>
      <c r="AQ57" s="11">
        <v>75</v>
      </c>
      <c r="AR57" s="11"/>
      <c r="AS57" s="11"/>
      <c r="AT57" s="20" t="str">
        <f>HYPERLINK("http://www.openstreetmap.org/?mlat=33.9217&amp;mlon=42.5242&amp;zoom=12#map=12/33.9217/42.5242","Maplink1")</f>
        <v>Maplink1</v>
      </c>
      <c r="AU57" s="20" t="str">
        <f>HYPERLINK("https://www.google.iq/maps/search/+33.9217,42.5242/@33.9217,42.5242,14z?hl=en","Maplink2")</f>
        <v>Maplink2</v>
      </c>
      <c r="AV57" s="20" t="str">
        <f>HYPERLINK("http://www.bing.com/maps/?lvl=14&amp;sty=h&amp;cp=33.9217~42.5242&amp;sp=point.33.9217_42.5242","Maplink3")</f>
        <v>Maplink3</v>
      </c>
    </row>
    <row r="58" spans="1:48" x14ac:dyDescent="0.25">
      <c r="A58" s="9">
        <v>21408</v>
      </c>
      <c r="B58" s="10" t="s">
        <v>8</v>
      </c>
      <c r="C58" s="10" t="s">
        <v>142</v>
      </c>
      <c r="D58" s="10" t="s">
        <v>1140</v>
      </c>
      <c r="E58" s="10" t="s">
        <v>175</v>
      </c>
      <c r="F58" s="10">
        <v>33.876202999999997</v>
      </c>
      <c r="G58" s="10">
        <v>42.526127000000002</v>
      </c>
      <c r="H58" s="11">
        <v>164</v>
      </c>
      <c r="I58" s="11">
        <v>984</v>
      </c>
      <c r="J58" s="11"/>
      <c r="K58" s="11"/>
      <c r="L58" s="11">
        <v>90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>
        <v>74</v>
      </c>
      <c r="Z58" s="11"/>
      <c r="AA58" s="11"/>
      <c r="AB58" s="11"/>
      <c r="AC58" s="11">
        <v>164</v>
      </c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>
        <v>90</v>
      </c>
      <c r="AO58" s="11"/>
      <c r="AP58" s="11">
        <v>74</v>
      </c>
      <c r="AQ58" s="11"/>
      <c r="AR58" s="11"/>
      <c r="AS58" s="11"/>
      <c r="AT58" s="20" t="str">
        <f>HYPERLINK("http://www.openstreetmap.org/?mlat=33.8762&amp;mlon=42.5261&amp;zoom=12#map=12/33.8762/42.5261","Maplink1")</f>
        <v>Maplink1</v>
      </c>
      <c r="AU58" s="20" t="str">
        <f>HYPERLINK("https://www.google.iq/maps/search/+33.8762,42.5261/@33.8762,42.5261,14z?hl=en","Maplink2")</f>
        <v>Maplink2</v>
      </c>
      <c r="AV58" s="20" t="str">
        <f>HYPERLINK("http://www.bing.com/maps/?lvl=14&amp;sty=h&amp;cp=33.8762~42.5261&amp;sp=point.33.8762_42.5261","Maplink3")</f>
        <v>Maplink3</v>
      </c>
    </row>
    <row r="59" spans="1:48" x14ac:dyDescent="0.25">
      <c r="A59" s="9">
        <v>24113</v>
      </c>
      <c r="B59" s="10" t="s">
        <v>8</v>
      </c>
      <c r="C59" s="10" t="s">
        <v>142</v>
      </c>
      <c r="D59" s="10" t="s">
        <v>147</v>
      </c>
      <c r="E59" s="10" t="s">
        <v>148</v>
      </c>
      <c r="F59" s="10">
        <v>33.641776</v>
      </c>
      <c r="G59" s="10">
        <v>42.827755000000003</v>
      </c>
      <c r="H59" s="11">
        <v>781</v>
      </c>
      <c r="I59" s="11">
        <v>4686</v>
      </c>
      <c r="J59" s="11">
        <v>428</v>
      </c>
      <c r="K59" s="11"/>
      <c r="L59" s="11">
        <v>280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>
        <v>73</v>
      </c>
      <c r="Z59" s="11"/>
      <c r="AA59" s="11"/>
      <c r="AB59" s="11"/>
      <c r="AC59" s="11">
        <v>781</v>
      </c>
      <c r="AD59" s="11"/>
      <c r="AE59" s="11"/>
      <c r="AF59" s="11"/>
      <c r="AG59" s="11"/>
      <c r="AH59" s="11"/>
      <c r="AI59" s="11"/>
      <c r="AJ59" s="11"/>
      <c r="AK59" s="11"/>
      <c r="AL59" s="11"/>
      <c r="AM59" s="11">
        <v>90</v>
      </c>
      <c r="AN59" s="11"/>
      <c r="AO59" s="11"/>
      <c r="AP59" s="11">
        <v>374</v>
      </c>
      <c r="AQ59" s="11">
        <v>73</v>
      </c>
      <c r="AR59" s="11">
        <v>244</v>
      </c>
      <c r="AS59" s="11"/>
      <c r="AT59" s="20" t="str">
        <f>HYPERLINK("http://www.openstreetmap.org/?mlat=33.6418&amp;mlon=42.8278&amp;zoom=12#map=12/33.6418/42.8278","Maplink1")</f>
        <v>Maplink1</v>
      </c>
      <c r="AU59" s="20" t="str">
        <f>HYPERLINK("https://www.google.iq/maps/search/+33.6418,42.8278/@33.6418,42.8278,14z?hl=en","Maplink2")</f>
        <v>Maplink2</v>
      </c>
      <c r="AV59" s="20" t="str">
        <f>HYPERLINK("http://www.bing.com/maps/?lvl=14&amp;sty=h&amp;cp=33.6418~42.8278&amp;sp=point.33.6418_42.8278","Maplink3")</f>
        <v>Maplink3</v>
      </c>
    </row>
    <row r="60" spans="1:48" x14ac:dyDescent="0.25">
      <c r="A60" s="9">
        <v>24114</v>
      </c>
      <c r="B60" s="10" t="s">
        <v>8</v>
      </c>
      <c r="C60" s="10" t="s">
        <v>142</v>
      </c>
      <c r="D60" s="10" t="s">
        <v>149</v>
      </c>
      <c r="E60" s="10" t="s">
        <v>150</v>
      </c>
      <c r="F60" s="10">
        <v>33.593634000000002</v>
      </c>
      <c r="G60" s="10">
        <v>42.614089</v>
      </c>
      <c r="H60" s="11">
        <v>364</v>
      </c>
      <c r="I60" s="11">
        <v>2184</v>
      </c>
      <c r="J60" s="11">
        <v>364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>
        <v>364</v>
      </c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>
        <v>173</v>
      </c>
      <c r="AO60" s="11"/>
      <c r="AP60" s="11">
        <v>119</v>
      </c>
      <c r="AQ60" s="11">
        <v>72</v>
      </c>
      <c r="AR60" s="11"/>
      <c r="AS60" s="11"/>
      <c r="AT60" s="20" t="str">
        <f>HYPERLINK("http://www.openstreetmap.org/?mlat=33.5936&amp;mlon=42.6141&amp;zoom=12#map=12/33.5936/42.6141","Maplink1")</f>
        <v>Maplink1</v>
      </c>
      <c r="AU60" s="20" t="str">
        <f>HYPERLINK("https://www.google.iq/maps/search/+33.5936,42.6141/@33.5936,42.6141,14z?hl=en","Maplink2")</f>
        <v>Maplink2</v>
      </c>
      <c r="AV60" s="20" t="str">
        <f>HYPERLINK("http://www.bing.com/maps/?lvl=14&amp;sty=h&amp;cp=33.5936~42.6141&amp;sp=point.33.5936_42.6141","Maplink3")</f>
        <v>Maplink3</v>
      </c>
    </row>
    <row r="61" spans="1:48" x14ac:dyDescent="0.25">
      <c r="A61" s="9">
        <v>135</v>
      </c>
      <c r="B61" s="10" t="s">
        <v>8</v>
      </c>
      <c r="C61" s="10" t="s">
        <v>142</v>
      </c>
      <c r="D61" s="10" t="s">
        <v>151</v>
      </c>
      <c r="E61" s="10" t="s">
        <v>152</v>
      </c>
      <c r="F61" s="10">
        <v>33.632710000000003</v>
      </c>
      <c r="G61" s="10">
        <v>42.848387000000002</v>
      </c>
      <c r="H61" s="11">
        <v>271</v>
      </c>
      <c r="I61" s="11">
        <v>1626</v>
      </c>
      <c r="J61" s="11">
        <v>211</v>
      </c>
      <c r="K61" s="11"/>
      <c r="L61" s="11"/>
      <c r="M61" s="11"/>
      <c r="N61" s="11"/>
      <c r="O61" s="11"/>
      <c r="P61" s="11"/>
      <c r="Q61" s="11"/>
      <c r="R61" s="11">
        <v>60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>
        <v>271</v>
      </c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>
        <v>60</v>
      </c>
      <c r="AO61" s="11"/>
      <c r="AP61" s="11">
        <v>144</v>
      </c>
      <c r="AQ61" s="11">
        <v>67</v>
      </c>
      <c r="AR61" s="11"/>
      <c r="AS61" s="11"/>
      <c r="AT61" s="20" t="str">
        <f>HYPERLINK("http://www.openstreetmap.org/?mlat=33.6327&amp;mlon=42.8484&amp;zoom=12#map=12/33.6327/42.8484","Maplink1")</f>
        <v>Maplink1</v>
      </c>
      <c r="AU61" s="20" t="str">
        <f>HYPERLINK("https://www.google.iq/maps/search/+33.6327,42.8484/@33.6327,42.8484,14z?hl=en","Maplink2")</f>
        <v>Maplink2</v>
      </c>
      <c r="AV61" s="20" t="str">
        <f>HYPERLINK("http://www.bing.com/maps/?lvl=14&amp;sty=h&amp;cp=33.6327~42.8484&amp;sp=point.33.6327_42.8484","Maplink3")</f>
        <v>Maplink3</v>
      </c>
    </row>
    <row r="62" spans="1:48" x14ac:dyDescent="0.25">
      <c r="A62" s="9">
        <v>23827</v>
      </c>
      <c r="B62" s="10" t="s">
        <v>8</v>
      </c>
      <c r="C62" s="10" t="s">
        <v>142</v>
      </c>
      <c r="D62" s="10" t="s">
        <v>154</v>
      </c>
      <c r="E62" s="10" t="s">
        <v>155</v>
      </c>
      <c r="F62" s="10">
        <v>33.644216</v>
      </c>
      <c r="G62" s="10">
        <v>42.822705999999997</v>
      </c>
      <c r="H62" s="11">
        <v>793</v>
      </c>
      <c r="I62" s="11">
        <v>4758</v>
      </c>
      <c r="J62" s="11">
        <v>544</v>
      </c>
      <c r="K62" s="11"/>
      <c r="L62" s="11"/>
      <c r="M62" s="11"/>
      <c r="N62" s="11"/>
      <c r="O62" s="11"/>
      <c r="P62" s="11"/>
      <c r="Q62" s="11"/>
      <c r="R62" s="11">
        <v>115</v>
      </c>
      <c r="S62" s="11"/>
      <c r="T62" s="11"/>
      <c r="U62" s="11"/>
      <c r="V62" s="11"/>
      <c r="W62" s="11"/>
      <c r="X62" s="11"/>
      <c r="Y62" s="11">
        <v>134</v>
      </c>
      <c r="Z62" s="11"/>
      <c r="AA62" s="11"/>
      <c r="AB62" s="11"/>
      <c r="AC62" s="11">
        <v>793</v>
      </c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>
        <v>105</v>
      </c>
      <c r="AO62" s="11"/>
      <c r="AP62" s="11">
        <v>316</v>
      </c>
      <c r="AQ62" s="11">
        <v>115</v>
      </c>
      <c r="AR62" s="11">
        <v>257</v>
      </c>
      <c r="AS62" s="11"/>
      <c r="AT62" s="20" t="str">
        <f>HYPERLINK("http://www.openstreetmap.org/?mlat=33.6442&amp;mlon=42.8227&amp;zoom=12#map=12/33.6442/42.8227","Maplink1")</f>
        <v>Maplink1</v>
      </c>
      <c r="AU62" s="20" t="str">
        <f>HYPERLINK("https://www.google.iq/maps/search/+33.6442,42.8227/@33.6442,42.8227,14z?hl=en","Maplink2")</f>
        <v>Maplink2</v>
      </c>
      <c r="AV62" s="20" t="str">
        <f>HYPERLINK("http://www.bing.com/maps/?lvl=14&amp;sty=h&amp;cp=33.6442~42.8227&amp;sp=point.33.6442_42.8227","Maplink3")</f>
        <v>Maplink3</v>
      </c>
    </row>
    <row r="63" spans="1:48" x14ac:dyDescent="0.25">
      <c r="A63" s="9">
        <v>23831</v>
      </c>
      <c r="B63" s="10" t="s">
        <v>8</v>
      </c>
      <c r="C63" s="10" t="s">
        <v>142</v>
      </c>
      <c r="D63" s="10" t="s">
        <v>156</v>
      </c>
      <c r="E63" s="10" t="s">
        <v>157</v>
      </c>
      <c r="F63" s="10">
        <v>33.630186000000002</v>
      </c>
      <c r="G63" s="10">
        <v>42.819651999999998</v>
      </c>
      <c r="H63" s="11">
        <v>690</v>
      </c>
      <c r="I63" s="11">
        <v>4140</v>
      </c>
      <c r="J63" s="11">
        <v>216</v>
      </c>
      <c r="K63" s="11"/>
      <c r="L63" s="11">
        <v>192</v>
      </c>
      <c r="M63" s="11"/>
      <c r="N63" s="11"/>
      <c r="O63" s="11"/>
      <c r="P63" s="11">
        <v>64</v>
      </c>
      <c r="Q63" s="11"/>
      <c r="R63" s="11">
        <v>110</v>
      </c>
      <c r="S63" s="11"/>
      <c r="T63" s="11"/>
      <c r="U63" s="11"/>
      <c r="V63" s="11"/>
      <c r="W63" s="11"/>
      <c r="X63" s="11"/>
      <c r="Y63" s="11">
        <v>108</v>
      </c>
      <c r="Z63" s="11"/>
      <c r="AA63" s="11"/>
      <c r="AB63" s="11"/>
      <c r="AC63" s="11">
        <v>690</v>
      </c>
      <c r="AD63" s="11"/>
      <c r="AE63" s="11"/>
      <c r="AF63" s="11"/>
      <c r="AG63" s="11"/>
      <c r="AH63" s="11"/>
      <c r="AI63" s="11"/>
      <c r="AJ63" s="11"/>
      <c r="AK63" s="11"/>
      <c r="AL63" s="11"/>
      <c r="AM63" s="11">
        <v>120</v>
      </c>
      <c r="AN63" s="11">
        <v>108</v>
      </c>
      <c r="AO63" s="11"/>
      <c r="AP63" s="11">
        <v>159</v>
      </c>
      <c r="AQ63" s="11">
        <v>182</v>
      </c>
      <c r="AR63" s="11">
        <v>121</v>
      </c>
      <c r="AS63" s="11"/>
      <c r="AT63" s="20" t="str">
        <f>HYPERLINK("http://www.openstreetmap.org/?mlat=33.6302&amp;mlon=42.8197&amp;zoom=12#map=12/33.6302/42.8197","Maplink1")</f>
        <v>Maplink1</v>
      </c>
      <c r="AU63" s="20" t="str">
        <f>HYPERLINK("https://www.google.iq/maps/search/+33.6302,42.8197/@33.6302,42.8197,14z?hl=en","Maplink2")</f>
        <v>Maplink2</v>
      </c>
      <c r="AV63" s="20" t="str">
        <f>HYPERLINK("http://www.bing.com/maps/?lvl=14&amp;sty=h&amp;cp=33.6302~42.8197&amp;sp=point.33.6302_42.8197","Maplink3")</f>
        <v>Maplink3</v>
      </c>
    </row>
    <row r="64" spans="1:48" x14ac:dyDescent="0.25">
      <c r="A64" s="9">
        <v>21264</v>
      </c>
      <c r="B64" s="10" t="s">
        <v>8</v>
      </c>
      <c r="C64" s="10" t="s">
        <v>142</v>
      </c>
      <c r="D64" s="10" t="s">
        <v>158</v>
      </c>
      <c r="E64" s="10" t="s">
        <v>159</v>
      </c>
      <c r="F64" s="10">
        <v>33.647554</v>
      </c>
      <c r="G64" s="10">
        <v>42.814266000000003</v>
      </c>
      <c r="H64" s="11">
        <v>941</v>
      </c>
      <c r="I64" s="11">
        <v>5646</v>
      </c>
      <c r="J64" s="11">
        <v>599</v>
      </c>
      <c r="K64" s="11"/>
      <c r="L64" s="11">
        <v>47</v>
      </c>
      <c r="M64" s="11"/>
      <c r="N64" s="11"/>
      <c r="O64" s="11"/>
      <c r="P64" s="11">
        <v>35</v>
      </c>
      <c r="Q64" s="11"/>
      <c r="R64" s="11">
        <v>260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>
        <v>941</v>
      </c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>
        <v>35</v>
      </c>
      <c r="AO64" s="11"/>
      <c r="AP64" s="11">
        <v>439</v>
      </c>
      <c r="AQ64" s="11">
        <v>47</v>
      </c>
      <c r="AR64" s="11">
        <v>420</v>
      </c>
      <c r="AS64" s="11"/>
      <c r="AT64" s="20" t="str">
        <f>HYPERLINK("http://www.openstreetmap.org/?mlat=33.6476&amp;mlon=42.8143&amp;zoom=12#map=12/33.6476/42.8143","Maplink1")</f>
        <v>Maplink1</v>
      </c>
      <c r="AU64" s="20" t="str">
        <f>HYPERLINK("https://www.google.iq/maps/search/+33.6476,42.8143/@33.6476,42.8143,14z?hl=en","Maplink2")</f>
        <v>Maplink2</v>
      </c>
      <c r="AV64" s="20" t="str">
        <f>HYPERLINK("http://www.bing.com/maps/?lvl=14&amp;sty=h&amp;cp=33.6476~42.8143&amp;sp=point.33.6476_42.8143","Maplink3")</f>
        <v>Maplink3</v>
      </c>
    </row>
    <row r="65" spans="1:48" x14ac:dyDescent="0.25">
      <c r="A65" s="9">
        <v>23838</v>
      </c>
      <c r="B65" s="10" t="s">
        <v>8</v>
      </c>
      <c r="C65" s="10" t="s">
        <v>142</v>
      </c>
      <c r="D65" s="10" t="s">
        <v>160</v>
      </c>
      <c r="E65" s="10" t="s">
        <v>161</v>
      </c>
      <c r="F65" s="10">
        <v>33.589885000000002</v>
      </c>
      <c r="G65" s="10">
        <v>42.618650000000002</v>
      </c>
      <c r="H65" s="11">
        <v>850</v>
      </c>
      <c r="I65" s="11">
        <v>5100</v>
      </c>
      <c r="J65" s="11">
        <v>660</v>
      </c>
      <c r="K65" s="11"/>
      <c r="L65" s="11"/>
      <c r="M65" s="11"/>
      <c r="N65" s="11"/>
      <c r="O65" s="11"/>
      <c r="P65" s="11">
        <v>190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>
        <v>838</v>
      </c>
      <c r="AD65" s="11"/>
      <c r="AE65" s="11"/>
      <c r="AF65" s="11"/>
      <c r="AG65" s="11"/>
      <c r="AH65" s="11"/>
      <c r="AI65" s="11">
        <v>12</v>
      </c>
      <c r="AJ65" s="11"/>
      <c r="AK65" s="11"/>
      <c r="AL65" s="11"/>
      <c r="AM65" s="11"/>
      <c r="AN65" s="11">
        <v>190</v>
      </c>
      <c r="AO65" s="11"/>
      <c r="AP65" s="11">
        <v>442</v>
      </c>
      <c r="AQ65" s="11">
        <v>100</v>
      </c>
      <c r="AR65" s="11">
        <v>118</v>
      </c>
      <c r="AS65" s="11"/>
      <c r="AT65" s="20" t="str">
        <f>HYPERLINK("http://www.openstreetmap.org/?mlat=33.5899&amp;mlon=42.6187&amp;zoom=12#map=12/33.5899/42.6187","Maplink1")</f>
        <v>Maplink1</v>
      </c>
      <c r="AU65" s="20" t="str">
        <f>HYPERLINK("https://www.google.iq/maps/search/+33.5899,42.6187/@33.5899,42.6187,14z?hl=en","Maplink2")</f>
        <v>Maplink2</v>
      </c>
      <c r="AV65" s="20" t="str">
        <f>HYPERLINK("http://www.bing.com/maps/?lvl=14&amp;sty=h&amp;cp=33.5899~42.6187&amp;sp=point.33.5899_42.6187","Maplink3")</f>
        <v>Maplink3</v>
      </c>
    </row>
    <row r="66" spans="1:48" x14ac:dyDescent="0.25">
      <c r="A66" s="9">
        <v>228</v>
      </c>
      <c r="B66" s="10" t="s">
        <v>8</v>
      </c>
      <c r="C66" s="10" t="s">
        <v>142</v>
      </c>
      <c r="D66" s="10" t="s">
        <v>162</v>
      </c>
      <c r="E66" s="10" t="s">
        <v>163</v>
      </c>
      <c r="F66" s="10">
        <v>33.639259000000003</v>
      </c>
      <c r="G66" s="10">
        <v>42.825597000000002</v>
      </c>
      <c r="H66" s="11">
        <v>1220</v>
      </c>
      <c r="I66" s="11">
        <v>7320</v>
      </c>
      <c r="J66" s="11">
        <v>969</v>
      </c>
      <c r="K66" s="11"/>
      <c r="L66" s="11">
        <v>100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>
        <v>151</v>
      </c>
      <c r="Z66" s="11"/>
      <c r="AA66" s="11"/>
      <c r="AB66" s="11"/>
      <c r="AC66" s="11">
        <v>1220</v>
      </c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>
        <v>151</v>
      </c>
      <c r="AO66" s="11"/>
      <c r="AP66" s="11">
        <v>472</v>
      </c>
      <c r="AQ66" s="11">
        <v>100</v>
      </c>
      <c r="AR66" s="11">
        <v>497</v>
      </c>
      <c r="AS66" s="11"/>
      <c r="AT66" s="20" t="str">
        <f>HYPERLINK("http://www.openstreetmap.org/?mlat=33.6393&amp;mlon=42.8256&amp;zoom=12#map=12/33.6393/42.8256","Maplink1")</f>
        <v>Maplink1</v>
      </c>
      <c r="AU66" s="20" t="str">
        <f>HYPERLINK("https://www.google.iq/maps/search/+33.6393,42.8256/@33.6393,42.8256,14z?hl=en","Maplink2")</f>
        <v>Maplink2</v>
      </c>
      <c r="AV66" s="20" t="str">
        <f>HYPERLINK("http://www.bing.com/maps/?lvl=14&amp;sty=h&amp;cp=33.6393~42.8256&amp;sp=point.33.6393_42.8256","Maplink3")</f>
        <v>Maplink3</v>
      </c>
    </row>
    <row r="67" spans="1:48" x14ac:dyDescent="0.25">
      <c r="A67" s="9">
        <v>23839</v>
      </c>
      <c r="B67" s="10" t="s">
        <v>8</v>
      </c>
      <c r="C67" s="10" t="s">
        <v>142</v>
      </c>
      <c r="D67" s="10" t="s">
        <v>164</v>
      </c>
      <c r="E67" s="10" t="s">
        <v>165</v>
      </c>
      <c r="F67" s="10">
        <v>33.594890999999997</v>
      </c>
      <c r="G67" s="10">
        <v>42.613263000000003</v>
      </c>
      <c r="H67" s="11">
        <v>817</v>
      </c>
      <c r="I67" s="11">
        <v>4902</v>
      </c>
      <c r="J67" s="11">
        <v>469</v>
      </c>
      <c r="K67" s="11"/>
      <c r="L67" s="11"/>
      <c r="M67" s="11"/>
      <c r="N67" s="11"/>
      <c r="O67" s="11"/>
      <c r="P67" s="11">
        <v>218</v>
      </c>
      <c r="Q67" s="11"/>
      <c r="R67" s="11">
        <v>130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>
        <v>817</v>
      </c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>
        <v>218</v>
      </c>
      <c r="AO67" s="11"/>
      <c r="AP67" s="11">
        <v>327</v>
      </c>
      <c r="AQ67" s="11">
        <v>272</v>
      </c>
      <c r="AR67" s="11"/>
      <c r="AS67" s="11"/>
      <c r="AT67" s="20" t="str">
        <f>HYPERLINK("http://www.openstreetmap.org/?mlat=33.5949&amp;mlon=42.6133&amp;zoom=12#map=12/33.5949/42.6133","Maplink1")</f>
        <v>Maplink1</v>
      </c>
      <c r="AU67" s="20" t="str">
        <f>HYPERLINK("https://www.google.iq/maps/search/+33.5949,42.6133/@33.5949,42.6133,14z?hl=en","Maplink2")</f>
        <v>Maplink2</v>
      </c>
      <c r="AV67" s="20" t="str">
        <f>HYPERLINK("http://www.bing.com/maps/?lvl=14&amp;sty=h&amp;cp=33.5949~42.6133&amp;sp=point.33.5949_42.6133","Maplink3")</f>
        <v>Maplink3</v>
      </c>
    </row>
    <row r="68" spans="1:48" x14ac:dyDescent="0.25">
      <c r="A68" s="9">
        <v>29535</v>
      </c>
      <c r="B68" s="10" t="s">
        <v>8</v>
      </c>
      <c r="C68" s="10" t="s">
        <v>142</v>
      </c>
      <c r="D68" s="10" t="s">
        <v>166</v>
      </c>
      <c r="E68" s="10" t="s">
        <v>126</v>
      </c>
      <c r="F68" s="10">
        <v>33.590407999999996</v>
      </c>
      <c r="G68" s="10">
        <v>42.613314000000003</v>
      </c>
      <c r="H68" s="11">
        <v>380</v>
      </c>
      <c r="I68" s="11">
        <v>2280</v>
      </c>
      <c r="J68" s="11">
        <v>242</v>
      </c>
      <c r="K68" s="11"/>
      <c r="L68" s="11">
        <v>89</v>
      </c>
      <c r="M68" s="11"/>
      <c r="N68" s="11"/>
      <c r="O68" s="11"/>
      <c r="P68" s="11">
        <v>49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>
        <v>380</v>
      </c>
      <c r="AD68" s="11"/>
      <c r="AE68" s="11"/>
      <c r="AF68" s="11"/>
      <c r="AG68" s="11"/>
      <c r="AH68" s="11"/>
      <c r="AI68" s="11"/>
      <c r="AJ68" s="11"/>
      <c r="AK68" s="11"/>
      <c r="AL68" s="11"/>
      <c r="AM68" s="11">
        <v>261</v>
      </c>
      <c r="AN68" s="11">
        <v>49</v>
      </c>
      <c r="AO68" s="11"/>
      <c r="AP68" s="11">
        <v>70</v>
      </c>
      <c r="AQ68" s="11"/>
      <c r="AR68" s="11"/>
      <c r="AS68" s="11"/>
      <c r="AT68" s="20" t="str">
        <f>HYPERLINK("http://www.openstreetmap.org/?mlat=33.5904&amp;mlon=42.6133&amp;zoom=12#map=12/33.5904/42.6133","Maplink1")</f>
        <v>Maplink1</v>
      </c>
      <c r="AU68" s="20" t="str">
        <f>HYPERLINK("https://www.google.iq/maps/search/+33.5904,42.6133/@33.5904,42.6133,14z?hl=en","Maplink2")</f>
        <v>Maplink2</v>
      </c>
      <c r="AV68" s="20" t="str">
        <f>HYPERLINK("http://www.bing.com/maps/?lvl=14&amp;sty=h&amp;cp=33.5904~42.6133&amp;sp=point.33.5904_42.6133","Maplink3")</f>
        <v>Maplink3</v>
      </c>
    </row>
    <row r="69" spans="1:48" x14ac:dyDescent="0.25">
      <c r="A69" s="9">
        <v>219</v>
      </c>
      <c r="B69" s="10" t="s">
        <v>8</v>
      </c>
      <c r="C69" s="10" t="s">
        <v>142</v>
      </c>
      <c r="D69" s="10" t="s">
        <v>167</v>
      </c>
      <c r="E69" s="10" t="s">
        <v>168</v>
      </c>
      <c r="F69" s="10">
        <v>33.636519999999997</v>
      </c>
      <c r="G69" s="10">
        <v>42.817701999999997</v>
      </c>
      <c r="H69" s="11">
        <v>926</v>
      </c>
      <c r="I69" s="11">
        <v>5556</v>
      </c>
      <c r="J69" s="11">
        <v>799</v>
      </c>
      <c r="K69" s="11"/>
      <c r="L69" s="11">
        <v>127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>
        <v>886</v>
      </c>
      <c r="AD69" s="11"/>
      <c r="AE69" s="11"/>
      <c r="AF69" s="11"/>
      <c r="AG69" s="11"/>
      <c r="AH69" s="11"/>
      <c r="AI69" s="11">
        <v>40</v>
      </c>
      <c r="AJ69" s="11"/>
      <c r="AK69" s="11"/>
      <c r="AL69" s="11"/>
      <c r="AM69" s="11"/>
      <c r="AN69" s="11">
        <v>127</v>
      </c>
      <c r="AO69" s="11"/>
      <c r="AP69" s="11">
        <v>332</v>
      </c>
      <c r="AQ69" s="11"/>
      <c r="AR69" s="11">
        <v>467</v>
      </c>
      <c r="AS69" s="11"/>
      <c r="AT69" s="20" t="str">
        <f>HYPERLINK("http://www.openstreetmap.org/?mlat=33.6365&amp;mlon=42.8177&amp;zoom=12#map=12/33.6365/42.8177","Maplink1")</f>
        <v>Maplink1</v>
      </c>
      <c r="AU69" s="20" t="str">
        <f>HYPERLINK("https://www.google.iq/maps/search/+33.6365,42.8177/@33.6365,42.8177,14z?hl=en","Maplink2")</f>
        <v>Maplink2</v>
      </c>
      <c r="AV69" s="20" t="str">
        <f>HYPERLINK("http://www.bing.com/maps/?lvl=14&amp;sty=h&amp;cp=33.6365~42.8177&amp;sp=point.33.6365_42.8177","Maplink3")</f>
        <v>Maplink3</v>
      </c>
    </row>
    <row r="70" spans="1:48" x14ac:dyDescent="0.25">
      <c r="A70" s="9">
        <v>23885</v>
      </c>
      <c r="B70" s="10" t="s">
        <v>8</v>
      </c>
      <c r="C70" s="10" t="s">
        <v>142</v>
      </c>
      <c r="D70" s="10" t="s">
        <v>169</v>
      </c>
      <c r="E70" s="10" t="s">
        <v>170</v>
      </c>
      <c r="F70" s="10">
        <v>33.630026000000001</v>
      </c>
      <c r="G70" s="10">
        <v>42.843528999999997</v>
      </c>
      <c r="H70" s="11">
        <v>522</v>
      </c>
      <c r="I70" s="11">
        <v>3132</v>
      </c>
      <c r="J70" s="11">
        <v>254</v>
      </c>
      <c r="K70" s="11"/>
      <c r="L70" s="11">
        <v>268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>
        <v>475</v>
      </c>
      <c r="AD70" s="11"/>
      <c r="AE70" s="11"/>
      <c r="AF70" s="11"/>
      <c r="AG70" s="11"/>
      <c r="AH70" s="11"/>
      <c r="AI70" s="11">
        <v>47</v>
      </c>
      <c r="AJ70" s="11"/>
      <c r="AK70" s="11"/>
      <c r="AL70" s="11"/>
      <c r="AM70" s="11"/>
      <c r="AN70" s="11">
        <v>268</v>
      </c>
      <c r="AO70" s="11"/>
      <c r="AP70" s="11">
        <v>71</v>
      </c>
      <c r="AQ70" s="11">
        <v>43</v>
      </c>
      <c r="AR70" s="11">
        <v>140</v>
      </c>
      <c r="AS70" s="11"/>
      <c r="AT70" s="20" t="str">
        <f>HYPERLINK("http://www.openstreetmap.org/?mlat=33.63&amp;mlon=42.8435&amp;zoom=12#map=12/33.63/42.8435","Maplink1")</f>
        <v>Maplink1</v>
      </c>
      <c r="AU70" s="20" t="str">
        <f>HYPERLINK("https://www.google.iq/maps/search/+33.63,42.8435/@33.63,42.8435,14z?hl=en","Maplink2")</f>
        <v>Maplink2</v>
      </c>
      <c r="AV70" s="20" t="str">
        <f>HYPERLINK("http://www.bing.com/maps/?lvl=14&amp;sty=h&amp;cp=33.63~42.8435&amp;sp=point.33.63_42.8435","Maplink3")</f>
        <v>Maplink3</v>
      </c>
    </row>
    <row r="71" spans="1:48" x14ac:dyDescent="0.25">
      <c r="A71" s="9">
        <v>29536</v>
      </c>
      <c r="B71" s="10" t="s">
        <v>8</v>
      </c>
      <c r="C71" s="10" t="s">
        <v>142</v>
      </c>
      <c r="D71" s="10" t="s">
        <v>171</v>
      </c>
      <c r="E71" s="10" t="s">
        <v>172</v>
      </c>
      <c r="F71" s="10">
        <v>33.589874999999999</v>
      </c>
      <c r="G71" s="10">
        <v>42.609439999999999</v>
      </c>
      <c r="H71" s="11">
        <v>617</v>
      </c>
      <c r="I71" s="11">
        <v>3702</v>
      </c>
      <c r="J71" s="11">
        <v>527</v>
      </c>
      <c r="K71" s="11"/>
      <c r="L71" s="11">
        <v>90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>
        <v>617</v>
      </c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>
        <v>90</v>
      </c>
      <c r="AO71" s="11"/>
      <c r="AP71" s="11">
        <v>434</v>
      </c>
      <c r="AQ71" s="11">
        <v>93</v>
      </c>
      <c r="AR71" s="11"/>
      <c r="AS71" s="11"/>
      <c r="AT71" s="20" t="str">
        <f>HYPERLINK("http://www.openstreetmap.org/?mlat=33.5899&amp;mlon=42.6094&amp;zoom=12#map=12/33.5899/42.6094","Maplink1")</f>
        <v>Maplink1</v>
      </c>
      <c r="AU71" s="20" t="str">
        <f>HYPERLINK("https://www.google.iq/maps/search/+33.5899,42.6094/@33.5899,42.6094,14z?hl=en","Maplink2")</f>
        <v>Maplink2</v>
      </c>
      <c r="AV71" s="20" t="str">
        <f>HYPERLINK("http://www.bing.com/maps/?lvl=14&amp;sty=h&amp;cp=33.5899~42.6094&amp;sp=point.33.5899_42.6094","Maplink3")</f>
        <v>Maplink3</v>
      </c>
    </row>
    <row r="72" spans="1:48" x14ac:dyDescent="0.25">
      <c r="A72" s="9">
        <v>21231</v>
      </c>
      <c r="B72" s="10" t="s">
        <v>8</v>
      </c>
      <c r="C72" s="10" t="s">
        <v>142</v>
      </c>
      <c r="D72" s="10" t="s">
        <v>173</v>
      </c>
      <c r="E72" s="10" t="s">
        <v>174</v>
      </c>
      <c r="F72" s="10">
        <v>33.638007000000002</v>
      </c>
      <c r="G72" s="10">
        <v>42.836699000000003</v>
      </c>
      <c r="H72" s="11">
        <v>941</v>
      </c>
      <c r="I72" s="11">
        <v>5646</v>
      </c>
      <c r="J72" s="11">
        <v>314</v>
      </c>
      <c r="K72" s="11"/>
      <c r="L72" s="11">
        <v>182</v>
      </c>
      <c r="M72" s="11"/>
      <c r="N72" s="11"/>
      <c r="O72" s="11"/>
      <c r="P72" s="11">
        <v>139</v>
      </c>
      <c r="Q72" s="11"/>
      <c r="R72" s="11">
        <v>203</v>
      </c>
      <c r="S72" s="11"/>
      <c r="T72" s="11"/>
      <c r="U72" s="11"/>
      <c r="V72" s="11"/>
      <c r="W72" s="11"/>
      <c r="X72" s="11"/>
      <c r="Y72" s="11">
        <v>103</v>
      </c>
      <c r="Z72" s="11"/>
      <c r="AA72" s="11"/>
      <c r="AB72" s="11"/>
      <c r="AC72" s="11">
        <v>941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>
        <v>139</v>
      </c>
      <c r="AO72" s="11"/>
      <c r="AP72" s="11">
        <v>405</v>
      </c>
      <c r="AQ72" s="11">
        <v>281</v>
      </c>
      <c r="AR72" s="11">
        <v>116</v>
      </c>
      <c r="AS72" s="11"/>
      <c r="AT72" s="20" t="str">
        <f>HYPERLINK("http://www.openstreetmap.org/?mlat=33.638&amp;mlon=42.8367&amp;zoom=12#map=12/33.638/42.8367","Maplink1")</f>
        <v>Maplink1</v>
      </c>
      <c r="AU72" s="20" t="str">
        <f>HYPERLINK("https://www.google.iq/maps/search/+33.638,42.8367/@33.638,42.8367,14z?hl=en","Maplink2")</f>
        <v>Maplink2</v>
      </c>
      <c r="AV72" s="20" t="str">
        <f>HYPERLINK("http://www.bing.com/maps/?lvl=14&amp;sty=h&amp;cp=33.638~42.8367&amp;sp=point.33.638_42.8367","Maplink3")</f>
        <v>Maplink3</v>
      </c>
    </row>
    <row r="73" spans="1:48" x14ac:dyDescent="0.25">
      <c r="A73" s="9">
        <v>29537</v>
      </c>
      <c r="B73" s="10" t="s">
        <v>8</v>
      </c>
      <c r="C73" s="10" t="s">
        <v>142</v>
      </c>
      <c r="D73" s="10" t="s">
        <v>176</v>
      </c>
      <c r="E73" s="10" t="s">
        <v>177</v>
      </c>
      <c r="F73" s="10">
        <v>33.587470000000003</v>
      </c>
      <c r="G73" s="10">
        <v>42.608139000000001</v>
      </c>
      <c r="H73" s="11">
        <v>690</v>
      </c>
      <c r="I73" s="11">
        <v>4140</v>
      </c>
      <c r="J73" s="11">
        <v>536</v>
      </c>
      <c r="K73" s="11"/>
      <c r="L73" s="11">
        <v>154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>
        <v>690</v>
      </c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v>403</v>
      </c>
      <c r="AQ73" s="11">
        <v>287</v>
      </c>
      <c r="AR73" s="11"/>
      <c r="AS73" s="11"/>
      <c r="AT73" s="20" t="str">
        <f>HYPERLINK("http://www.openstreetmap.org/?mlat=33.5875&amp;mlon=42.6081&amp;zoom=12#map=12/33.5875/42.6081","Maplink1")</f>
        <v>Maplink1</v>
      </c>
      <c r="AU73" s="20" t="str">
        <f>HYPERLINK("https://www.google.iq/maps/search/+33.5875,42.6081/@33.5875,42.6081,14z?hl=en","Maplink2")</f>
        <v>Maplink2</v>
      </c>
      <c r="AV73" s="20" t="str">
        <f>HYPERLINK("http://www.bing.com/maps/?lvl=14&amp;sty=h&amp;cp=33.5875~42.6081&amp;sp=point.33.5875_42.6081","Maplink3")</f>
        <v>Maplink3</v>
      </c>
    </row>
    <row r="74" spans="1:48" x14ac:dyDescent="0.25">
      <c r="A74" s="9">
        <v>226</v>
      </c>
      <c r="B74" s="10" t="s">
        <v>8</v>
      </c>
      <c r="C74" s="10" t="s">
        <v>142</v>
      </c>
      <c r="D74" s="10" t="s">
        <v>178</v>
      </c>
      <c r="E74" s="10" t="s">
        <v>179</v>
      </c>
      <c r="F74" s="10">
        <v>33.626868000000002</v>
      </c>
      <c r="G74" s="10">
        <v>42.839903</v>
      </c>
      <c r="H74" s="11">
        <v>621</v>
      </c>
      <c r="I74" s="11">
        <v>3726</v>
      </c>
      <c r="J74" s="11">
        <v>281</v>
      </c>
      <c r="K74" s="11"/>
      <c r="L74" s="11"/>
      <c r="M74" s="11"/>
      <c r="N74" s="11"/>
      <c r="O74" s="11"/>
      <c r="P74" s="11"/>
      <c r="Q74" s="11"/>
      <c r="R74" s="11">
        <v>279</v>
      </c>
      <c r="S74" s="11"/>
      <c r="T74" s="11"/>
      <c r="U74" s="11"/>
      <c r="V74" s="11"/>
      <c r="W74" s="11"/>
      <c r="X74" s="11"/>
      <c r="Y74" s="11">
        <v>61</v>
      </c>
      <c r="Z74" s="11"/>
      <c r="AA74" s="11"/>
      <c r="AB74" s="11"/>
      <c r="AC74" s="11">
        <v>621</v>
      </c>
      <c r="AD74" s="11"/>
      <c r="AE74" s="11"/>
      <c r="AF74" s="11"/>
      <c r="AG74" s="11"/>
      <c r="AH74" s="11"/>
      <c r="AI74" s="11"/>
      <c r="AJ74" s="11"/>
      <c r="AK74" s="11"/>
      <c r="AL74" s="11"/>
      <c r="AM74" s="11">
        <v>61</v>
      </c>
      <c r="AN74" s="11"/>
      <c r="AO74" s="11"/>
      <c r="AP74" s="11">
        <v>384</v>
      </c>
      <c r="AQ74" s="11">
        <v>176</v>
      </c>
      <c r="AR74" s="11"/>
      <c r="AS74" s="11"/>
      <c r="AT74" s="20" t="str">
        <f>HYPERLINK("http://www.openstreetmap.org/?mlat=33.6269&amp;mlon=42.8399&amp;zoom=12#map=12/33.6269/42.8399","Maplink1")</f>
        <v>Maplink1</v>
      </c>
      <c r="AU74" s="20" t="str">
        <f>HYPERLINK("https://www.google.iq/maps/search/+33.6269,42.8399/@33.6269,42.8399,14z?hl=en","Maplink2")</f>
        <v>Maplink2</v>
      </c>
      <c r="AV74" s="20" t="str">
        <f>HYPERLINK("http://www.bing.com/maps/?lvl=14&amp;sty=h&amp;cp=33.6269~42.8399&amp;sp=point.33.6269_42.8399","Maplink3")</f>
        <v>Maplink3</v>
      </c>
    </row>
    <row r="75" spans="1:48" x14ac:dyDescent="0.25">
      <c r="A75" s="9">
        <v>53</v>
      </c>
      <c r="B75" s="10" t="s">
        <v>8</v>
      </c>
      <c r="C75" s="10" t="s">
        <v>142</v>
      </c>
      <c r="D75" s="10" t="s">
        <v>1252</v>
      </c>
      <c r="E75" s="10" t="s">
        <v>180</v>
      </c>
      <c r="F75" s="10">
        <v>33.698059999999998</v>
      </c>
      <c r="G75" s="10">
        <v>42.746380000000002</v>
      </c>
      <c r="H75" s="11">
        <v>455</v>
      </c>
      <c r="I75" s="11">
        <v>2730</v>
      </c>
      <c r="J75" s="11">
        <v>258</v>
      </c>
      <c r="K75" s="11"/>
      <c r="L75" s="11">
        <v>197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>
        <v>455</v>
      </c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>
        <v>197</v>
      </c>
      <c r="AO75" s="11"/>
      <c r="AP75" s="11">
        <v>177</v>
      </c>
      <c r="AQ75" s="11">
        <v>81</v>
      </c>
      <c r="AR75" s="11"/>
      <c r="AS75" s="11"/>
      <c r="AT75" s="20" t="str">
        <f>HYPERLINK("http://www.openstreetmap.org/?mlat=33.6981&amp;mlon=42.7464&amp;zoom=12#map=12/33.6981/42.7464","Maplink1")</f>
        <v>Maplink1</v>
      </c>
      <c r="AU75" s="20" t="str">
        <f>HYPERLINK("https://www.google.iq/maps/search/+33.6981,42.7464/@33.6981,42.7464,14z?hl=en","Maplink2")</f>
        <v>Maplink2</v>
      </c>
      <c r="AV75" s="20" t="str">
        <f>HYPERLINK("http://www.bing.com/maps/?lvl=14&amp;sty=h&amp;cp=33.6981~42.7464&amp;sp=point.33.6981_42.7464","Maplink3")</f>
        <v>Maplink3</v>
      </c>
    </row>
    <row r="76" spans="1:48" x14ac:dyDescent="0.25">
      <c r="A76" s="9">
        <v>23835</v>
      </c>
      <c r="B76" s="10" t="s">
        <v>8</v>
      </c>
      <c r="C76" s="10" t="s">
        <v>142</v>
      </c>
      <c r="D76" s="10" t="s">
        <v>1253</v>
      </c>
      <c r="E76" s="10" t="s">
        <v>181</v>
      </c>
      <c r="F76" s="10">
        <v>33.592497000000002</v>
      </c>
      <c r="G76" s="10">
        <v>42.623727000000002</v>
      </c>
      <c r="H76" s="11">
        <v>310</v>
      </c>
      <c r="I76" s="11">
        <v>1860</v>
      </c>
      <c r="J76" s="11">
        <v>310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>
        <v>310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>
        <v>115</v>
      </c>
      <c r="AN76" s="11"/>
      <c r="AO76" s="11"/>
      <c r="AP76" s="11">
        <v>73</v>
      </c>
      <c r="AQ76" s="11"/>
      <c r="AR76" s="11">
        <v>122</v>
      </c>
      <c r="AS76" s="11"/>
      <c r="AT76" s="20" t="str">
        <f>HYPERLINK("http://www.openstreetmap.org/?mlat=33.5925&amp;mlon=42.6237&amp;zoom=12#map=12/33.5925/42.6237","Maplink1")</f>
        <v>Maplink1</v>
      </c>
      <c r="AU76" s="20" t="str">
        <f>HYPERLINK("https://www.google.iq/maps/search/+33.5925,42.6237/@33.5925,42.6237,14z?hl=en","Maplink2")</f>
        <v>Maplink2</v>
      </c>
      <c r="AV76" s="20" t="str">
        <f>HYPERLINK("http://www.bing.com/maps/?lvl=14&amp;sty=h&amp;cp=33.5925~42.6237&amp;sp=point.33.5925_42.6237","Maplink3")</f>
        <v>Maplink3</v>
      </c>
    </row>
    <row r="77" spans="1:48" x14ac:dyDescent="0.25">
      <c r="A77" s="9">
        <v>5</v>
      </c>
      <c r="B77" s="10" t="s">
        <v>8</v>
      </c>
      <c r="C77" s="10" t="s">
        <v>142</v>
      </c>
      <c r="D77" s="10" t="s">
        <v>182</v>
      </c>
      <c r="E77" s="10" t="s">
        <v>183</v>
      </c>
      <c r="F77" s="10">
        <v>33.591861000000002</v>
      </c>
      <c r="G77" s="10">
        <v>42.611404999999998</v>
      </c>
      <c r="H77" s="11">
        <v>669</v>
      </c>
      <c r="I77" s="11">
        <v>4014</v>
      </c>
      <c r="J77" s="11">
        <v>494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>
        <v>175</v>
      </c>
      <c r="Z77" s="11"/>
      <c r="AA77" s="11"/>
      <c r="AB77" s="11"/>
      <c r="AC77" s="11">
        <v>669</v>
      </c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v>454</v>
      </c>
      <c r="AQ77" s="11"/>
      <c r="AR77" s="11">
        <v>215</v>
      </c>
      <c r="AS77" s="11"/>
      <c r="AT77" s="20" t="str">
        <f>HYPERLINK("http://www.openstreetmap.org/?mlat=33.5919&amp;mlon=42.6114&amp;zoom=12#map=12/33.5919/42.6114","Maplink1")</f>
        <v>Maplink1</v>
      </c>
      <c r="AU77" s="20" t="str">
        <f>HYPERLINK("https://www.google.iq/maps/search/+33.5919,42.6114/@33.5919,42.6114,14z?hl=en","Maplink2")</f>
        <v>Maplink2</v>
      </c>
      <c r="AV77" s="20" t="str">
        <f>HYPERLINK("http://www.bing.com/maps/?lvl=14&amp;sty=h&amp;cp=33.5919~42.6114&amp;sp=point.33.5919_42.6114","Maplink3")</f>
        <v>Maplink3</v>
      </c>
    </row>
    <row r="78" spans="1:48" x14ac:dyDescent="0.25">
      <c r="A78" s="9">
        <v>191</v>
      </c>
      <c r="B78" s="10" t="s">
        <v>8</v>
      </c>
      <c r="C78" s="10" t="s">
        <v>142</v>
      </c>
      <c r="D78" s="10" t="s">
        <v>184</v>
      </c>
      <c r="E78" s="10" t="s">
        <v>185</v>
      </c>
      <c r="F78" s="10">
        <v>33.642051000000002</v>
      </c>
      <c r="G78" s="10">
        <v>42.812998999999998</v>
      </c>
      <c r="H78" s="11">
        <v>954</v>
      </c>
      <c r="I78" s="11">
        <v>5724</v>
      </c>
      <c r="J78" s="11">
        <v>586</v>
      </c>
      <c r="K78" s="11"/>
      <c r="L78" s="11">
        <v>150</v>
      </c>
      <c r="M78" s="11"/>
      <c r="N78" s="11"/>
      <c r="O78" s="11"/>
      <c r="P78" s="11"/>
      <c r="Q78" s="11"/>
      <c r="R78" s="11">
        <v>96</v>
      </c>
      <c r="S78" s="11"/>
      <c r="T78" s="11"/>
      <c r="U78" s="11"/>
      <c r="V78" s="11"/>
      <c r="W78" s="11"/>
      <c r="X78" s="11"/>
      <c r="Y78" s="11">
        <v>122</v>
      </c>
      <c r="Z78" s="11"/>
      <c r="AA78" s="11"/>
      <c r="AB78" s="11"/>
      <c r="AC78" s="11">
        <v>954</v>
      </c>
      <c r="AD78" s="11"/>
      <c r="AE78" s="11"/>
      <c r="AF78" s="11"/>
      <c r="AG78" s="11"/>
      <c r="AH78" s="11"/>
      <c r="AI78" s="11"/>
      <c r="AJ78" s="11"/>
      <c r="AK78" s="11"/>
      <c r="AL78" s="11"/>
      <c r="AM78" s="11">
        <v>59</v>
      </c>
      <c r="AN78" s="11">
        <v>96</v>
      </c>
      <c r="AO78" s="11"/>
      <c r="AP78" s="11">
        <v>401</v>
      </c>
      <c r="AQ78" s="11">
        <v>250</v>
      </c>
      <c r="AR78" s="11">
        <v>148</v>
      </c>
      <c r="AS78" s="11"/>
      <c r="AT78" s="20" t="str">
        <f>HYPERLINK("http://www.openstreetmap.org/?mlat=33.6421&amp;mlon=42.813&amp;zoom=12#map=12/33.6421/42.813","Maplink1")</f>
        <v>Maplink1</v>
      </c>
      <c r="AU78" s="20" t="str">
        <f>HYPERLINK("https://www.google.iq/maps/search/+33.6421,42.813/@33.6421,42.813,14z?hl=en","Maplink2")</f>
        <v>Maplink2</v>
      </c>
      <c r="AV78" s="20" t="str">
        <f>HYPERLINK("http://www.bing.com/maps/?lvl=14&amp;sty=h&amp;cp=33.6421~42.813&amp;sp=point.33.6421_42.813","Maplink3")</f>
        <v>Maplink3</v>
      </c>
    </row>
    <row r="79" spans="1:48" x14ac:dyDescent="0.25">
      <c r="A79" s="9">
        <v>194</v>
      </c>
      <c r="B79" s="10" t="s">
        <v>8</v>
      </c>
      <c r="C79" s="10" t="s">
        <v>142</v>
      </c>
      <c r="D79" s="10" t="s">
        <v>186</v>
      </c>
      <c r="E79" s="10" t="s">
        <v>187</v>
      </c>
      <c r="F79" s="10">
        <v>33.631995000000003</v>
      </c>
      <c r="G79" s="10">
        <v>42.839765999999997</v>
      </c>
      <c r="H79" s="11">
        <v>857</v>
      </c>
      <c r="I79" s="11">
        <v>5142</v>
      </c>
      <c r="J79" s="11">
        <v>301</v>
      </c>
      <c r="K79" s="11"/>
      <c r="L79" s="11">
        <v>200</v>
      </c>
      <c r="M79" s="11"/>
      <c r="N79" s="11"/>
      <c r="O79" s="11"/>
      <c r="P79" s="11"/>
      <c r="Q79" s="11"/>
      <c r="R79" s="11">
        <v>198</v>
      </c>
      <c r="S79" s="11"/>
      <c r="T79" s="11"/>
      <c r="U79" s="11"/>
      <c r="V79" s="11"/>
      <c r="W79" s="11"/>
      <c r="X79" s="11">
        <v>60</v>
      </c>
      <c r="Y79" s="11">
        <v>98</v>
      </c>
      <c r="Z79" s="11"/>
      <c r="AA79" s="11"/>
      <c r="AB79" s="11"/>
      <c r="AC79" s="11">
        <v>857</v>
      </c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>
        <v>158</v>
      </c>
      <c r="AO79" s="11"/>
      <c r="AP79" s="11">
        <v>313</v>
      </c>
      <c r="AQ79" s="11">
        <v>200</v>
      </c>
      <c r="AR79" s="11">
        <v>186</v>
      </c>
      <c r="AS79" s="11"/>
      <c r="AT79" s="20" t="str">
        <f>HYPERLINK("http://www.openstreetmap.org/?mlat=33.632&amp;mlon=42.8398&amp;zoom=12#map=12/33.632/42.8398","Maplink1")</f>
        <v>Maplink1</v>
      </c>
      <c r="AU79" s="20" t="str">
        <f>HYPERLINK("https://www.google.iq/maps/search/+33.632,42.8398/@33.632,42.8398,14z?hl=en","Maplink2")</f>
        <v>Maplink2</v>
      </c>
      <c r="AV79" s="20" t="str">
        <f>HYPERLINK("http://www.bing.com/maps/?lvl=14&amp;sty=h&amp;cp=33.632~42.8398&amp;sp=point.33.632_42.8398","Maplink3")</f>
        <v>Maplink3</v>
      </c>
    </row>
    <row r="80" spans="1:48" x14ac:dyDescent="0.25">
      <c r="A80" s="9">
        <v>23889</v>
      </c>
      <c r="B80" s="10" t="s">
        <v>8</v>
      </c>
      <c r="C80" s="10" t="s">
        <v>188</v>
      </c>
      <c r="D80" s="10" t="s">
        <v>1141</v>
      </c>
      <c r="E80" s="10" t="s">
        <v>1254</v>
      </c>
      <c r="F80" s="10">
        <v>33.412630999999998</v>
      </c>
      <c r="G80" s="10">
        <v>43.183388000000001</v>
      </c>
      <c r="H80" s="11">
        <v>512</v>
      </c>
      <c r="I80" s="11">
        <v>3072</v>
      </c>
      <c r="J80" s="11">
        <v>96</v>
      </c>
      <c r="K80" s="11"/>
      <c r="L80" s="11"/>
      <c r="M80" s="11"/>
      <c r="N80" s="11"/>
      <c r="O80" s="11"/>
      <c r="P80" s="11">
        <v>136</v>
      </c>
      <c r="Q80" s="11"/>
      <c r="R80" s="11">
        <v>280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>
        <v>512</v>
      </c>
      <c r="AD80" s="11"/>
      <c r="AE80" s="11"/>
      <c r="AF80" s="11"/>
      <c r="AG80" s="11"/>
      <c r="AH80" s="11"/>
      <c r="AI80" s="11"/>
      <c r="AJ80" s="11"/>
      <c r="AK80" s="11"/>
      <c r="AL80" s="11"/>
      <c r="AM80" s="11">
        <v>66</v>
      </c>
      <c r="AN80" s="11">
        <v>30</v>
      </c>
      <c r="AO80" s="11"/>
      <c r="AP80" s="11">
        <v>280</v>
      </c>
      <c r="AQ80" s="11">
        <v>136</v>
      </c>
      <c r="AR80" s="11"/>
      <c r="AS80" s="11"/>
      <c r="AT80" s="20" t="str">
        <f>HYPERLINK("http://www.openstreetmap.org/?mlat=33.4126&amp;mlon=43.1834&amp;zoom=12#map=12/33.4126/43.1834","Maplink1")</f>
        <v>Maplink1</v>
      </c>
      <c r="AU80" s="20" t="str">
        <f>HYPERLINK("https://www.google.iq/maps/search/+33.4126,43.1834/@33.4126,43.1834,14z?hl=en","Maplink2")</f>
        <v>Maplink2</v>
      </c>
      <c r="AV80" s="20" t="str">
        <f>HYPERLINK("http://www.bing.com/maps/?lvl=14&amp;sty=h&amp;cp=33.4126~43.1834&amp;sp=point.33.4126_43.1834","Maplink3")</f>
        <v>Maplink3</v>
      </c>
    </row>
    <row r="81" spans="1:48" x14ac:dyDescent="0.25">
      <c r="A81" s="9">
        <v>23858</v>
      </c>
      <c r="B81" s="10" t="s">
        <v>8</v>
      </c>
      <c r="C81" s="10" t="s">
        <v>188</v>
      </c>
      <c r="D81" s="10" t="s">
        <v>1142</v>
      </c>
      <c r="E81" s="10" t="s">
        <v>190</v>
      </c>
      <c r="F81" s="10">
        <v>33.387912</v>
      </c>
      <c r="G81" s="10">
        <v>43.532187</v>
      </c>
      <c r="H81" s="11">
        <v>319</v>
      </c>
      <c r="I81" s="11">
        <v>1914</v>
      </c>
      <c r="J81" s="11">
        <v>138</v>
      </c>
      <c r="K81" s="11"/>
      <c r="L81" s="11"/>
      <c r="M81" s="11"/>
      <c r="N81" s="11"/>
      <c r="O81" s="11"/>
      <c r="P81" s="11"/>
      <c r="Q81" s="11"/>
      <c r="R81" s="11">
        <v>114</v>
      </c>
      <c r="S81" s="11"/>
      <c r="T81" s="11"/>
      <c r="U81" s="11"/>
      <c r="V81" s="11"/>
      <c r="W81" s="11"/>
      <c r="X81" s="11"/>
      <c r="Y81" s="11">
        <v>67</v>
      </c>
      <c r="Z81" s="11"/>
      <c r="AA81" s="11"/>
      <c r="AB81" s="11"/>
      <c r="AC81" s="11">
        <v>319</v>
      </c>
      <c r="AD81" s="11"/>
      <c r="AE81" s="11"/>
      <c r="AF81" s="11"/>
      <c r="AG81" s="11"/>
      <c r="AH81" s="11"/>
      <c r="AI81" s="11"/>
      <c r="AJ81" s="11"/>
      <c r="AK81" s="11"/>
      <c r="AL81" s="11"/>
      <c r="AM81" s="11">
        <v>175</v>
      </c>
      <c r="AN81" s="11"/>
      <c r="AO81" s="11"/>
      <c r="AP81" s="11"/>
      <c r="AQ81" s="11">
        <v>67</v>
      </c>
      <c r="AR81" s="11">
        <v>77</v>
      </c>
      <c r="AS81" s="11"/>
      <c r="AT81" s="20" t="str">
        <f>HYPERLINK("http://www.openstreetmap.org/?mlat=33.3879&amp;mlon=43.5322&amp;zoom=12#map=12/33.3879/43.5322","Maplink1")</f>
        <v>Maplink1</v>
      </c>
      <c r="AU81" s="20" t="str">
        <f>HYPERLINK("https://www.google.iq/maps/search/+33.3879,43.5322/@33.3879,43.5322,14z?hl=en","Maplink2")</f>
        <v>Maplink2</v>
      </c>
      <c r="AV81" s="20" t="str">
        <f>HYPERLINK("http://www.bing.com/maps/?lvl=14&amp;sty=h&amp;cp=33.3879~43.5322&amp;sp=point.33.3879_43.5322","Maplink3")</f>
        <v>Maplink3</v>
      </c>
    </row>
    <row r="82" spans="1:48" x14ac:dyDescent="0.25">
      <c r="A82" s="9">
        <v>133</v>
      </c>
      <c r="B82" s="10" t="s">
        <v>8</v>
      </c>
      <c r="C82" s="10" t="s">
        <v>188</v>
      </c>
      <c r="D82" s="10" t="s">
        <v>191</v>
      </c>
      <c r="E82" s="10" t="s">
        <v>192</v>
      </c>
      <c r="F82" s="10">
        <v>33.414760999999999</v>
      </c>
      <c r="G82" s="10">
        <v>43.306842000000003</v>
      </c>
      <c r="H82" s="11">
        <v>1067</v>
      </c>
      <c r="I82" s="11">
        <v>6402</v>
      </c>
      <c r="J82" s="11">
        <v>492</v>
      </c>
      <c r="K82" s="11"/>
      <c r="L82" s="11"/>
      <c r="M82" s="11"/>
      <c r="N82" s="11"/>
      <c r="O82" s="11"/>
      <c r="P82" s="11">
        <v>165</v>
      </c>
      <c r="Q82" s="11"/>
      <c r="R82" s="11">
        <v>90</v>
      </c>
      <c r="S82" s="11"/>
      <c r="T82" s="11"/>
      <c r="U82" s="11"/>
      <c r="V82" s="11"/>
      <c r="W82" s="11"/>
      <c r="X82" s="11"/>
      <c r="Y82" s="11">
        <v>320</v>
      </c>
      <c r="Z82" s="11"/>
      <c r="AA82" s="11"/>
      <c r="AB82" s="11"/>
      <c r="AC82" s="11">
        <v>1067</v>
      </c>
      <c r="AD82" s="11"/>
      <c r="AE82" s="11"/>
      <c r="AF82" s="11"/>
      <c r="AG82" s="11"/>
      <c r="AH82" s="11"/>
      <c r="AI82" s="11"/>
      <c r="AJ82" s="11"/>
      <c r="AK82" s="11"/>
      <c r="AL82" s="11"/>
      <c r="AM82" s="11">
        <v>210</v>
      </c>
      <c r="AN82" s="11"/>
      <c r="AO82" s="11"/>
      <c r="AP82" s="11">
        <v>367</v>
      </c>
      <c r="AQ82" s="11">
        <v>490</v>
      </c>
      <c r="AR82" s="11"/>
      <c r="AS82" s="11"/>
      <c r="AT82" s="20" t="str">
        <f>HYPERLINK("http://www.openstreetmap.org/?mlat=33.4148&amp;mlon=43.3068&amp;zoom=12#map=12/33.4148/43.3068","Maplink1")</f>
        <v>Maplink1</v>
      </c>
      <c r="AU82" s="20" t="str">
        <f>HYPERLINK("https://www.google.iq/maps/search/+33.4148,43.3068/@33.4148,43.3068,14z?hl=en","Maplink2")</f>
        <v>Maplink2</v>
      </c>
      <c r="AV82" s="20" t="str">
        <f>HYPERLINK("http://www.bing.com/maps/?lvl=14&amp;sty=h&amp;cp=33.4148~43.3068&amp;sp=point.33.4148_43.3068","Maplink3")</f>
        <v>Maplink3</v>
      </c>
    </row>
    <row r="83" spans="1:48" x14ac:dyDescent="0.25">
      <c r="A83" s="9">
        <v>132</v>
      </c>
      <c r="B83" s="10" t="s">
        <v>8</v>
      </c>
      <c r="C83" s="10" t="s">
        <v>188</v>
      </c>
      <c r="D83" s="10" t="s">
        <v>193</v>
      </c>
      <c r="E83" s="10" t="s">
        <v>194</v>
      </c>
      <c r="F83" s="10">
        <v>33.422457999999999</v>
      </c>
      <c r="G83" s="10">
        <v>43.303907000000002</v>
      </c>
      <c r="H83" s="11">
        <v>1508</v>
      </c>
      <c r="I83" s="11">
        <v>9048</v>
      </c>
      <c r="J83" s="11">
        <v>1438</v>
      </c>
      <c r="K83" s="11"/>
      <c r="L83" s="11"/>
      <c r="M83" s="11"/>
      <c r="N83" s="11"/>
      <c r="O83" s="11"/>
      <c r="P83" s="11"/>
      <c r="Q83" s="11"/>
      <c r="R83" s="11">
        <v>70</v>
      </c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>
        <v>1508</v>
      </c>
      <c r="AD83" s="11"/>
      <c r="AE83" s="11"/>
      <c r="AF83" s="11"/>
      <c r="AG83" s="11"/>
      <c r="AH83" s="11"/>
      <c r="AI83" s="11"/>
      <c r="AJ83" s="11"/>
      <c r="AK83" s="11"/>
      <c r="AL83" s="11"/>
      <c r="AM83" s="11">
        <v>451</v>
      </c>
      <c r="AN83" s="11"/>
      <c r="AO83" s="11"/>
      <c r="AP83" s="11">
        <v>303</v>
      </c>
      <c r="AQ83" s="11">
        <v>754</v>
      </c>
      <c r="AR83" s="11"/>
      <c r="AS83" s="11"/>
      <c r="AT83" s="20" t="str">
        <f>HYPERLINK("http://www.openstreetmap.org/?mlat=33.4225&amp;mlon=43.3039&amp;zoom=12#map=12/33.4225/43.3039","Maplink1")</f>
        <v>Maplink1</v>
      </c>
      <c r="AU83" s="20" t="str">
        <f>HYPERLINK("https://www.google.iq/maps/search/+33.4225,43.3039/@33.4225,43.3039,14z?hl=en","Maplink2")</f>
        <v>Maplink2</v>
      </c>
      <c r="AV83" s="20" t="str">
        <f>HYPERLINK("http://www.bing.com/maps/?lvl=14&amp;sty=h&amp;cp=33.4225~43.3039&amp;sp=point.33.4225_43.3039","Maplink3")</f>
        <v>Maplink3</v>
      </c>
    </row>
    <row r="84" spans="1:48" x14ac:dyDescent="0.25">
      <c r="A84" s="9">
        <v>25650</v>
      </c>
      <c r="B84" s="10" t="s">
        <v>8</v>
      </c>
      <c r="C84" s="10" t="s">
        <v>188</v>
      </c>
      <c r="D84" s="10" t="s">
        <v>195</v>
      </c>
      <c r="E84" s="10" t="s">
        <v>196</v>
      </c>
      <c r="F84" s="10">
        <v>33.411586</v>
      </c>
      <c r="G84" s="10">
        <v>43.308807000000002</v>
      </c>
      <c r="H84" s="11">
        <v>1202</v>
      </c>
      <c r="I84" s="11">
        <v>7212</v>
      </c>
      <c r="J84" s="11">
        <v>753</v>
      </c>
      <c r="K84" s="11"/>
      <c r="L84" s="11">
        <v>374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>
        <v>75</v>
      </c>
      <c r="Z84" s="11"/>
      <c r="AA84" s="11"/>
      <c r="AB84" s="11"/>
      <c r="AC84" s="11">
        <v>1105</v>
      </c>
      <c r="AD84" s="11"/>
      <c r="AE84" s="11"/>
      <c r="AF84" s="11"/>
      <c r="AG84" s="11"/>
      <c r="AH84" s="11"/>
      <c r="AI84" s="11">
        <v>97</v>
      </c>
      <c r="AJ84" s="11"/>
      <c r="AK84" s="11"/>
      <c r="AL84" s="11"/>
      <c r="AM84" s="11">
        <v>272</v>
      </c>
      <c r="AN84" s="11"/>
      <c r="AO84" s="11"/>
      <c r="AP84" s="11">
        <v>75</v>
      </c>
      <c r="AQ84" s="11">
        <v>621</v>
      </c>
      <c r="AR84" s="11">
        <v>234</v>
      </c>
      <c r="AS84" s="11"/>
      <c r="AT84" s="20" t="str">
        <f>HYPERLINK("http://www.openstreetmap.org/?mlat=33.4116&amp;mlon=43.3088&amp;zoom=12#map=12/33.4116/43.3088","Maplink1")</f>
        <v>Maplink1</v>
      </c>
      <c r="AU84" s="20" t="str">
        <f>HYPERLINK("https://www.google.iq/maps/search/+33.4116,43.3088/@33.4116,43.3088,14z?hl=en","Maplink2")</f>
        <v>Maplink2</v>
      </c>
      <c r="AV84" s="20" t="str">
        <f>HYPERLINK("http://www.bing.com/maps/?lvl=14&amp;sty=h&amp;cp=33.4116~43.3088&amp;sp=point.33.4116_43.3088","Maplink3")</f>
        <v>Maplink3</v>
      </c>
    </row>
    <row r="85" spans="1:48" x14ac:dyDescent="0.25">
      <c r="A85" s="9">
        <v>117</v>
      </c>
      <c r="B85" s="10" t="s">
        <v>8</v>
      </c>
      <c r="C85" s="10" t="s">
        <v>188</v>
      </c>
      <c r="D85" s="10" t="s">
        <v>197</v>
      </c>
      <c r="E85" s="10" t="s">
        <v>198</v>
      </c>
      <c r="F85" s="10">
        <v>33.428213999999997</v>
      </c>
      <c r="G85" s="10">
        <v>43.296959000000001</v>
      </c>
      <c r="H85" s="11">
        <v>1147</v>
      </c>
      <c r="I85" s="11">
        <v>6882</v>
      </c>
      <c r="J85" s="11">
        <v>492</v>
      </c>
      <c r="K85" s="11"/>
      <c r="L85" s="11">
        <v>485</v>
      </c>
      <c r="M85" s="11"/>
      <c r="N85" s="11"/>
      <c r="O85" s="11"/>
      <c r="P85" s="11"/>
      <c r="Q85" s="11"/>
      <c r="R85" s="11">
        <v>170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>
        <v>1106</v>
      </c>
      <c r="AD85" s="11"/>
      <c r="AE85" s="11"/>
      <c r="AF85" s="11"/>
      <c r="AG85" s="11"/>
      <c r="AH85" s="11"/>
      <c r="AI85" s="11">
        <v>41</v>
      </c>
      <c r="AJ85" s="11"/>
      <c r="AK85" s="11"/>
      <c r="AL85" s="11"/>
      <c r="AM85" s="11">
        <v>54</v>
      </c>
      <c r="AN85" s="11"/>
      <c r="AO85" s="11"/>
      <c r="AP85" s="11">
        <v>33</v>
      </c>
      <c r="AQ85" s="11">
        <v>1060</v>
      </c>
      <c r="AR85" s="11"/>
      <c r="AS85" s="11"/>
      <c r="AT85" s="20" t="str">
        <f>HYPERLINK("http://www.openstreetmap.org/?mlat=33.4282&amp;mlon=43.297&amp;zoom=12#map=12/33.4282/43.297","Maplink1")</f>
        <v>Maplink1</v>
      </c>
      <c r="AU85" s="20" t="str">
        <f>HYPERLINK("https://www.google.iq/maps/search/+33.4282,43.297/@33.4282,43.297,14z?hl=en","Maplink2")</f>
        <v>Maplink2</v>
      </c>
      <c r="AV85" s="20" t="str">
        <f>HYPERLINK("http://www.bing.com/maps/?lvl=14&amp;sty=h&amp;cp=33.4282~43.297&amp;sp=point.33.4282_43.297","Maplink3")</f>
        <v>Maplink3</v>
      </c>
    </row>
    <row r="86" spans="1:48" x14ac:dyDescent="0.25">
      <c r="A86" s="9">
        <v>29579</v>
      </c>
      <c r="B86" s="10" t="s">
        <v>8</v>
      </c>
      <c r="C86" s="10" t="s">
        <v>188</v>
      </c>
      <c r="D86" s="10" t="s">
        <v>199</v>
      </c>
      <c r="E86" s="10" t="s">
        <v>200</v>
      </c>
      <c r="F86" s="10">
        <v>33.412533000000003</v>
      </c>
      <c r="G86" s="10">
        <v>43.308374000000001</v>
      </c>
      <c r="H86" s="11">
        <v>1668</v>
      </c>
      <c r="I86" s="11">
        <v>10008</v>
      </c>
      <c r="J86" s="11">
        <v>394</v>
      </c>
      <c r="K86" s="11"/>
      <c r="L86" s="11">
        <v>466</v>
      </c>
      <c r="M86" s="11"/>
      <c r="N86" s="11"/>
      <c r="O86" s="11"/>
      <c r="P86" s="11">
        <v>389</v>
      </c>
      <c r="Q86" s="11"/>
      <c r="R86" s="11">
        <v>419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>
        <v>1668</v>
      </c>
      <c r="AD86" s="11"/>
      <c r="AE86" s="11"/>
      <c r="AF86" s="11"/>
      <c r="AG86" s="11"/>
      <c r="AH86" s="11"/>
      <c r="AI86" s="11"/>
      <c r="AJ86" s="11"/>
      <c r="AK86" s="11"/>
      <c r="AL86" s="11"/>
      <c r="AM86" s="11">
        <v>419</v>
      </c>
      <c r="AN86" s="11"/>
      <c r="AO86" s="11"/>
      <c r="AP86" s="11">
        <v>389</v>
      </c>
      <c r="AQ86" s="11">
        <v>660</v>
      </c>
      <c r="AR86" s="11">
        <v>200</v>
      </c>
      <c r="AS86" s="11"/>
      <c r="AT86" s="20" t="str">
        <f>HYPERLINK("http://www.openstreetmap.org/?mlat=33.4125&amp;mlon=43.3084&amp;zoom=12#map=12/33.4125/43.3084","Maplink1")</f>
        <v>Maplink1</v>
      </c>
      <c r="AU86" s="20" t="str">
        <f>HYPERLINK("https://www.google.iq/maps/search/+33.4125,43.3084/@33.4125,43.3084,14z?hl=en","Maplink2")</f>
        <v>Maplink2</v>
      </c>
      <c r="AV86" s="20" t="str">
        <f>HYPERLINK("http://www.bing.com/maps/?lvl=14&amp;sty=h&amp;cp=33.4125~43.3084&amp;sp=point.33.4125_43.3084","Maplink3")</f>
        <v>Maplink3</v>
      </c>
    </row>
    <row r="87" spans="1:48" x14ac:dyDescent="0.25">
      <c r="A87" s="9">
        <v>29580</v>
      </c>
      <c r="B87" s="10" t="s">
        <v>8</v>
      </c>
      <c r="C87" s="10" t="s">
        <v>188</v>
      </c>
      <c r="D87" s="10" t="s">
        <v>201</v>
      </c>
      <c r="E87" s="10" t="s">
        <v>202</v>
      </c>
      <c r="F87" s="10">
        <v>33.420703000000003</v>
      </c>
      <c r="G87" s="10">
        <v>43.291817000000002</v>
      </c>
      <c r="H87" s="11">
        <v>1325</v>
      </c>
      <c r="I87" s="11">
        <v>7950</v>
      </c>
      <c r="J87" s="11">
        <v>408</v>
      </c>
      <c r="K87" s="11"/>
      <c r="L87" s="11">
        <v>291</v>
      </c>
      <c r="M87" s="11"/>
      <c r="N87" s="11"/>
      <c r="O87" s="11"/>
      <c r="P87" s="11">
        <v>265</v>
      </c>
      <c r="Q87" s="11"/>
      <c r="R87" s="11"/>
      <c r="S87" s="11"/>
      <c r="T87" s="11"/>
      <c r="U87" s="11"/>
      <c r="V87" s="11"/>
      <c r="W87" s="11"/>
      <c r="X87" s="11"/>
      <c r="Y87" s="11">
        <v>361</v>
      </c>
      <c r="Z87" s="11"/>
      <c r="AA87" s="11"/>
      <c r="AB87" s="11"/>
      <c r="AC87" s="11">
        <v>1325</v>
      </c>
      <c r="AD87" s="11"/>
      <c r="AE87" s="11"/>
      <c r="AF87" s="11"/>
      <c r="AG87" s="11"/>
      <c r="AH87" s="11"/>
      <c r="AI87" s="11"/>
      <c r="AJ87" s="11"/>
      <c r="AK87" s="11"/>
      <c r="AL87" s="11"/>
      <c r="AM87" s="11">
        <v>22</v>
      </c>
      <c r="AN87" s="11"/>
      <c r="AO87" s="11"/>
      <c r="AP87" s="11">
        <v>626</v>
      </c>
      <c r="AQ87" s="11">
        <v>677</v>
      </c>
      <c r="AR87" s="11"/>
      <c r="AS87" s="11"/>
      <c r="AT87" s="20" t="str">
        <f>HYPERLINK("http://www.openstreetmap.org/?mlat=33.4207&amp;mlon=43.2918&amp;zoom=12#map=12/33.4207/43.2918","Maplink1")</f>
        <v>Maplink1</v>
      </c>
      <c r="AU87" s="20" t="str">
        <f>HYPERLINK("https://www.google.iq/maps/search/+33.4207,43.2918/@33.4207,43.2918,14z?hl=en","Maplink2")</f>
        <v>Maplink2</v>
      </c>
      <c r="AV87" s="20" t="str">
        <f>HYPERLINK("http://www.bing.com/maps/?lvl=14&amp;sty=h&amp;cp=33.4207~43.2918&amp;sp=point.33.4207_43.2918","Maplink3")</f>
        <v>Maplink3</v>
      </c>
    </row>
    <row r="88" spans="1:48" x14ac:dyDescent="0.25">
      <c r="A88" s="9">
        <v>311</v>
      </c>
      <c r="B88" s="10" t="s">
        <v>8</v>
      </c>
      <c r="C88" s="10" t="s">
        <v>188</v>
      </c>
      <c r="D88" s="10" t="s">
        <v>203</v>
      </c>
      <c r="E88" s="10" t="s">
        <v>204</v>
      </c>
      <c r="F88" s="10">
        <v>33.430456</v>
      </c>
      <c r="G88" s="10">
        <v>43.292997999999997</v>
      </c>
      <c r="H88" s="11">
        <v>1765</v>
      </c>
      <c r="I88" s="11">
        <v>10590</v>
      </c>
      <c r="J88" s="11">
        <v>1300</v>
      </c>
      <c r="K88" s="11"/>
      <c r="L88" s="11">
        <v>153</v>
      </c>
      <c r="M88" s="11"/>
      <c r="N88" s="11"/>
      <c r="O88" s="11"/>
      <c r="P88" s="11"/>
      <c r="Q88" s="11"/>
      <c r="R88" s="11">
        <v>312</v>
      </c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>
        <v>1765</v>
      </c>
      <c r="AD88" s="11"/>
      <c r="AE88" s="11"/>
      <c r="AF88" s="11"/>
      <c r="AG88" s="11"/>
      <c r="AH88" s="11"/>
      <c r="AI88" s="11"/>
      <c r="AJ88" s="11"/>
      <c r="AK88" s="11"/>
      <c r="AL88" s="11"/>
      <c r="AM88" s="11">
        <v>856</v>
      </c>
      <c r="AN88" s="11">
        <v>351</v>
      </c>
      <c r="AO88" s="11"/>
      <c r="AP88" s="11">
        <v>241</v>
      </c>
      <c r="AQ88" s="11">
        <v>317</v>
      </c>
      <c r="AR88" s="11"/>
      <c r="AS88" s="11"/>
      <c r="AT88" s="20" t="str">
        <f>HYPERLINK("http://www.openstreetmap.org/?mlat=33.4305&amp;mlon=43.293&amp;zoom=12#map=12/33.4305/43.293","Maplink1")</f>
        <v>Maplink1</v>
      </c>
      <c r="AU88" s="20" t="str">
        <f>HYPERLINK("https://www.google.iq/maps/search/+33.4305,43.293/@33.4305,43.293,14z?hl=en","Maplink2")</f>
        <v>Maplink2</v>
      </c>
      <c r="AV88" s="20" t="str">
        <f>HYPERLINK("http://www.bing.com/maps/?lvl=14&amp;sty=h&amp;cp=33.4305~43.293&amp;sp=point.33.4305_43.293","Maplink3")</f>
        <v>Maplink3</v>
      </c>
    </row>
    <row r="89" spans="1:48" x14ac:dyDescent="0.25">
      <c r="A89" s="9">
        <v>25800</v>
      </c>
      <c r="B89" s="10" t="s">
        <v>8</v>
      </c>
      <c r="C89" s="10" t="s">
        <v>188</v>
      </c>
      <c r="D89" s="10" t="s">
        <v>205</v>
      </c>
      <c r="E89" s="10" t="s">
        <v>206</v>
      </c>
      <c r="F89" s="10">
        <v>33.430070999999998</v>
      </c>
      <c r="G89" s="10">
        <v>43.299576000000002</v>
      </c>
      <c r="H89" s="11">
        <v>1050</v>
      </c>
      <c r="I89" s="11">
        <v>6300</v>
      </c>
      <c r="J89" s="11">
        <v>657</v>
      </c>
      <c r="K89" s="11"/>
      <c r="L89" s="11"/>
      <c r="M89" s="11"/>
      <c r="N89" s="11"/>
      <c r="O89" s="11"/>
      <c r="P89" s="11">
        <v>82</v>
      </c>
      <c r="Q89" s="11"/>
      <c r="R89" s="11">
        <v>221</v>
      </c>
      <c r="S89" s="11"/>
      <c r="T89" s="11"/>
      <c r="U89" s="11"/>
      <c r="V89" s="11"/>
      <c r="W89" s="11"/>
      <c r="X89" s="11">
        <v>90</v>
      </c>
      <c r="Y89" s="11"/>
      <c r="Z89" s="11"/>
      <c r="AA89" s="11"/>
      <c r="AB89" s="11"/>
      <c r="AC89" s="11">
        <v>982</v>
      </c>
      <c r="AD89" s="11"/>
      <c r="AE89" s="11"/>
      <c r="AF89" s="11"/>
      <c r="AG89" s="11"/>
      <c r="AH89" s="11"/>
      <c r="AI89" s="11">
        <v>68</v>
      </c>
      <c r="AJ89" s="11"/>
      <c r="AK89" s="11"/>
      <c r="AL89" s="11"/>
      <c r="AM89" s="11">
        <v>752</v>
      </c>
      <c r="AN89" s="11"/>
      <c r="AO89" s="11"/>
      <c r="AP89" s="11">
        <v>82</v>
      </c>
      <c r="AQ89" s="11">
        <v>216</v>
      </c>
      <c r="AR89" s="11"/>
      <c r="AS89" s="11"/>
      <c r="AT89" s="20" t="str">
        <f>HYPERLINK("http://www.openstreetmap.org/?mlat=33.4301&amp;mlon=43.2996&amp;zoom=12#map=12/33.4301/43.2996","Maplink1")</f>
        <v>Maplink1</v>
      </c>
      <c r="AU89" s="20" t="str">
        <f>HYPERLINK("https://www.google.iq/maps/search/+33.4301,43.2996/@33.4301,43.2996,14z?hl=en","Maplink2")</f>
        <v>Maplink2</v>
      </c>
      <c r="AV89" s="20" t="str">
        <f>HYPERLINK("http://www.bing.com/maps/?lvl=14&amp;sty=h&amp;cp=33.4301~43.2996&amp;sp=point.33.4301_43.2996","Maplink3")</f>
        <v>Maplink3</v>
      </c>
    </row>
    <row r="90" spans="1:48" x14ac:dyDescent="0.25">
      <c r="A90" s="9">
        <v>24730</v>
      </c>
      <c r="B90" s="10" t="s">
        <v>8</v>
      </c>
      <c r="C90" s="10" t="s">
        <v>188</v>
      </c>
      <c r="D90" s="10" t="s">
        <v>207</v>
      </c>
      <c r="E90" s="10" t="s">
        <v>208</v>
      </c>
      <c r="F90" s="10">
        <v>33.378565000000002</v>
      </c>
      <c r="G90" s="10">
        <v>43.532009000000002</v>
      </c>
      <c r="H90" s="11">
        <v>528</v>
      </c>
      <c r="I90" s="11">
        <v>3168</v>
      </c>
      <c r="J90" s="11">
        <v>157</v>
      </c>
      <c r="K90" s="11"/>
      <c r="L90" s="11">
        <v>286</v>
      </c>
      <c r="M90" s="11"/>
      <c r="N90" s="11"/>
      <c r="O90" s="11"/>
      <c r="P90" s="11"/>
      <c r="Q90" s="11"/>
      <c r="R90" s="11">
        <v>85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>
        <v>528</v>
      </c>
      <c r="AD90" s="11"/>
      <c r="AE90" s="11"/>
      <c r="AF90" s="11"/>
      <c r="AG90" s="11"/>
      <c r="AH90" s="11"/>
      <c r="AI90" s="11"/>
      <c r="AJ90" s="11"/>
      <c r="AK90" s="11"/>
      <c r="AL90" s="11"/>
      <c r="AM90" s="11">
        <v>57</v>
      </c>
      <c r="AN90" s="11"/>
      <c r="AO90" s="11"/>
      <c r="AP90" s="11">
        <v>274</v>
      </c>
      <c r="AQ90" s="11">
        <v>97</v>
      </c>
      <c r="AR90" s="11">
        <v>100</v>
      </c>
      <c r="AS90" s="11"/>
      <c r="AT90" s="20" t="str">
        <f>HYPERLINK("http://www.openstreetmap.org/?mlat=33.3786&amp;mlon=43.532&amp;zoom=12#map=12/33.3786/43.532","Maplink1")</f>
        <v>Maplink1</v>
      </c>
      <c r="AU90" s="20" t="str">
        <f>HYPERLINK("https://www.google.iq/maps/search/+33.3786,43.532/@33.3786,43.532,14z?hl=en","Maplink2")</f>
        <v>Maplink2</v>
      </c>
      <c r="AV90" s="20" t="str">
        <f>HYPERLINK("http://www.bing.com/maps/?lvl=14&amp;sty=h&amp;cp=33.3786~43.532&amp;sp=point.33.3786_43.532","Maplink3")</f>
        <v>Maplink3</v>
      </c>
    </row>
    <row r="91" spans="1:48" x14ac:dyDescent="0.25">
      <c r="A91" s="9">
        <v>29581</v>
      </c>
      <c r="B91" s="10" t="s">
        <v>8</v>
      </c>
      <c r="C91" s="10" t="s">
        <v>188</v>
      </c>
      <c r="D91" s="10" t="s">
        <v>209</v>
      </c>
      <c r="E91" s="10" t="s">
        <v>210</v>
      </c>
      <c r="F91" s="10">
        <v>33.415472999999999</v>
      </c>
      <c r="G91" s="10">
        <v>43.220742000000001</v>
      </c>
      <c r="H91" s="11">
        <v>1071</v>
      </c>
      <c r="I91" s="11">
        <v>6426</v>
      </c>
      <c r="J91" s="11">
        <v>214</v>
      </c>
      <c r="K91" s="11"/>
      <c r="L91" s="11">
        <v>348</v>
      </c>
      <c r="M91" s="11"/>
      <c r="N91" s="11"/>
      <c r="O91" s="11"/>
      <c r="P91" s="11">
        <v>190</v>
      </c>
      <c r="Q91" s="11"/>
      <c r="R91" s="11">
        <v>130</v>
      </c>
      <c r="S91" s="11"/>
      <c r="T91" s="11"/>
      <c r="U91" s="11"/>
      <c r="V91" s="11"/>
      <c r="W91" s="11"/>
      <c r="X91" s="11"/>
      <c r="Y91" s="11">
        <v>189</v>
      </c>
      <c r="Z91" s="11"/>
      <c r="AA91" s="11"/>
      <c r="AB91" s="11"/>
      <c r="AC91" s="11">
        <v>1071</v>
      </c>
      <c r="AD91" s="11"/>
      <c r="AE91" s="11"/>
      <c r="AF91" s="11"/>
      <c r="AG91" s="11"/>
      <c r="AH91" s="11"/>
      <c r="AI91" s="11"/>
      <c r="AJ91" s="11"/>
      <c r="AK91" s="11"/>
      <c r="AL91" s="11"/>
      <c r="AM91" s="11">
        <v>190</v>
      </c>
      <c r="AN91" s="11">
        <v>130</v>
      </c>
      <c r="AO91" s="11"/>
      <c r="AP91" s="11">
        <v>537</v>
      </c>
      <c r="AQ91" s="11">
        <v>214</v>
      </c>
      <c r="AR91" s="11"/>
      <c r="AS91" s="11"/>
      <c r="AT91" s="20" t="str">
        <f>HYPERLINK("http://www.openstreetmap.org/?mlat=33.4155&amp;mlon=43.2207&amp;zoom=12#map=12/33.4155/43.2207","Maplink1")</f>
        <v>Maplink1</v>
      </c>
      <c r="AU91" s="20" t="str">
        <f>HYPERLINK("https://www.google.iq/maps/search/+33.4155,43.2207/@33.4155,43.2207,14z?hl=en","Maplink2")</f>
        <v>Maplink2</v>
      </c>
      <c r="AV91" s="20" t="str">
        <f>HYPERLINK("http://www.bing.com/maps/?lvl=14&amp;sty=h&amp;cp=33.4155~43.2207&amp;sp=point.33.4155_43.2207","Maplink3")</f>
        <v>Maplink3</v>
      </c>
    </row>
    <row r="92" spans="1:48" x14ac:dyDescent="0.25">
      <c r="A92" s="9">
        <v>181</v>
      </c>
      <c r="B92" s="10" t="s">
        <v>8</v>
      </c>
      <c r="C92" s="10" t="s">
        <v>188</v>
      </c>
      <c r="D92" s="10" t="s">
        <v>1143</v>
      </c>
      <c r="E92" s="10" t="s">
        <v>253</v>
      </c>
      <c r="F92" s="10">
        <v>33.408788000000001</v>
      </c>
      <c r="G92" s="10">
        <v>43.287788999999997</v>
      </c>
      <c r="H92" s="11">
        <v>1900</v>
      </c>
      <c r="I92" s="11">
        <v>11400</v>
      </c>
      <c r="J92" s="11">
        <v>446</v>
      </c>
      <c r="K92" s="11"/>
      <c r="L92" s="11">
        <v>736</v>
      </c>
      <c r="M92" s="11"/>
      <c r="N92" s="11"/>
      <c r="O92" s="11"/>
      <c r="P92" s="11">
        <v>371</v>
      </c>
      <c r="Q92" s="11"/>
      <c r="R92" s="11">
        <v>135</v>
      </c>
      <c r="S92" s="11"/>
      <c r="T92" s="11"/>
      <c r="U92" s="11"/>
      <c r="V92" s="11"/>
      <c r="W92" s="11"/>
      <c r="X92" s="11"/>
      <c r="Y92" s="11">
        <v>212</v>
      </c>
      <c r="Z92" s="11"/>
      <c r="AA92" s="11"/>
      <c r="AB92" s="11"/>
      <c r="AC92" s="11">
        <v>1900</v>
      </c>
      <c r="AD92" s="11"/>
      <c r="AE92" s="11"/>
      <c r="AF92" s="11"/>
      <c r="AG92" s="11"/>
      <c r="AH92" s="11"/>
      <c r="AI92" s="11"/>
      <c r="AJ92" s="11"/>
      <c r="AK92" s="11"/>
      <c r="AL92" s="11"/>
      <c r="AM92" s="11">
        <v>397</v>
      </c>
      <c r="AN92" s="11"/>
      <c r="AO92" s="11"/>
      <c r="AP92" s="11">
        <v>853</v>
      </c>
      <c r="AQ92" s="11">
        <v>650</v>
      </c>
      <c r="AR92" s="11"/>
      <c r="AS92" s="11"/>
      <c r="AT92" s="20" t="str">
        <f>HYPERLINK("http://www.openstreetmap.org/?mlat=33.4088&amp;mlon=43.2878&amp;zoom=12#map=12/33.4088/43.2878","Maplink1")</f>
        <v>Maplink1</v>
      </c>
      <c r="AU92" s="20" t="str">
        <f>HYPERLINK("https://www.google.iq/maps/search/+33.4088,43.2878/@33.4088,43.2878,14z?hl=en","Maplink2")</f>
        <v>Maplink2</v>
      </c>
      <c r="AV92" s="20" t="str">
        <f>HYPERLINK("http://www.bing.com/maps/?lvl=14&amp;sty=h&amp;cp=33.4088~43.2878&amp;sp=point.33.4088_43.2878","Maplink3")</f>
        <v>Maplink3</v>
      </c>
    </row>
    <row r="93" spans="1:48" x14ac:dyDescent="0.25">
      <c r="A93" s="9">
        <v>25440</v>
      </c>
      <c r="B93" s="10" t="s">
        <v>8</v>
      </c>
      <c r="C93" s="10" t="s">
        <v>188</v>
      </c>
      <c r="D93" s="10" t="s">
        <v>211</v>
      </c>
      <c r="E93" s="10" t="s">
        <v>212</v>
      </c>
      <c r="F93" s="10">
        <v>33.432822999999999</v>
      </c>
      <c r="G93" s="10">
        <v>43.364002999999997</v>
      </c>
      <c r="H93" s="11">
        <v>928</v>
      </c>
      <c r="I93" s="11">
        <v>5568</v>
      </c>
      <c r="J93" s="11">
        <v>390</v>
      </c>
      <c r="K93" s="11"/>
      <c r="L93" s="11">
        <v>321</v>
      </c>
      <c r="M93" s="11"/>
      <c r="N93" s="11"/>
      <c r="O93" s="11"/>
      <c r="P93" s="11">
        <v>217</v>
      </c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>
        <v>788</v>
      </c>
      <c r="AD93" s="11"/>
      <c r="AE93" s="11"/>
      <c r="AF93" s="11"/>
      <c r="AG93" s="11"/>
      <c r="AH93" s="11"/>
      <c r="AI93" s="11">
        <v>140</v>
      </c>
      <c r="AJ93" s="11"/>
      <c r="AK93" s="11"/>
      <c r="AL93" s="11"/>
      <c r="AM93" s="11">
        <v>333</v>
      </c>
      <c r="AN93" s="11"/>
      <c r="AO93" s="11"/>
      <c r="AP93" s="11">
        <v>250</v>
      </c>
      <c r="AQ93" s="11">
        <v>345</v>
      </c>
      <c r="AR93" s="11"/>
      <c r="AS93" s="11"/>
      <c r="AT93" s="20" t="str">
        <f>HYPERLINK("http://www.openstreetmap.org/?mlat=33.4328&amp;mlon=43.364&amp;zoom=12#map=12/33.4328/43.364","Maplink1")</f>
        <v>Maplink1</v>
      </c>
      <c r="AU93" s="20" t="str">
        <f>HYPERLINK("https://www.google.iq/maps/search/+33.4328,43.364/@33.4328,43.364,14z?hl=en","Maplink2")</f>
        <v>Maplink2</v>
      </c>
      <c r="AV93" s="20" t="str">
        <f>HYPERLINK("http://www.bing.com/maps/?lvl=14&amp;sty=h&amp;cp=33.4328~43.364&amp;sp=point.33.4328_43.364","Maplink3")</f>
        <v>Maplink3</v>
      </c>
    </row>
    <row r="94" spans="1:48" x14ac:dyDescent="0.25">
      <c r="A94" s="9">
        <v>29534</v>
      </c>
      <c r="B94" s="10" t="s">
        <v>8</v>
      </c>
      <c r="C94" s="10" t="s">
        <v>188</v>
      </c>
      <c r="D94" s="10" t="s">
        <v>213</v>
      </c>
      <c r="E94" s="10" t="s">
        <v>214</v>
      </c>
      <c r="F94" s="10">
        <v>33.398747</v>
      </c>
      <c r="G94" s="10">
        <v>43.281571</v>
      </c>
      <c r="H94" s="11">
        <v>1116</v>
      </c>
      <c r="I94" s="11">
        <v>6696</v>
      </c>
      <c r="J94" s="11">
        <v>888</v>
      </c>
      <c r="K94" s="11">
        <v>228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>
        <v>1034</v>
      </c>
      <c r="AD94" s="11"/>
      <c r="AE94" s="11"/>
      <c r="AF94" s="11"/>
      <c r="AG94" s="11"/>
      <c r="AH94" s="11"/>
      <c r="AI94" s="11">
        <v>82</v>
      </c>
      <c r="AJ94" s="11"/>
      <c r="AK94" s="11"/>
      <c r="AL94" s="11"/>
      <c r="AM94" s="11">
        <v>178</v>
      </c>
      <c r="AN94" s="11"/>
      <c r="AO94" s="11"/>
      <c r="AP94" s="11">
        <v>518</v>
      </c>
      <c r="AQ94" s="11">
        <v>420</v>
      </c>
      <c r="AR94" s="11"/>
      <c r="AS94" s="11"/>
      <c r="AT94" s="20" t="str">
        <f>HYPERLINK("http://www.openstreetmap.org/?mlat=33.3987&amp;mlon=43.2816&amp;zoom=12#map=12/33.3987/43.2816","Maplink1")</f>
        <v>Maplink1</v>
      </c>
      <c r="AU94" s="20" t="str">
        <f>HYPERLINK("https://www.google.iq/maps/search/+33.3987,43.2816/@33.3987,43.2816,14z?hl=en","Maplink2")</f>
        <v>Maplink2</v>
      </c>
      <c r="AV94" s="20" t="str">
        <f>HYPERLINK("http://www.bing.com/maps/?lvl=14&amp;sty=h&amp;cp=33.3987~43.2816&amp;sp=point.33.3987_43.2816","Maplink3")</f>
        <v>Maplink3</v>
      </c>
    </row>
    <row r="95" spans="1:48" x14ac:dyDescent="0.25">
      <c r="A95" s="9">
        <v>25442</v>
      </c>
      <c r="B95" s="10" t="s">
        <v>8</v>
      </c>
      <c r="C95" s="10" t="s">
        <v>188</v>
      </c>
      <c r="D95" s="10" t="s">
        <v>215</v>
      </c>
      <c r="E95" s="10" t="s">
        <v>216</v>
      </c>
      <c r="F95" s="10">
        <v>33.415956999999999</v>
      </c>
      <c r="G95" s="10">
        <v>43.269649999999999</v>
      </c>
      <c r="H95" s="11">
        <v>826</v>
      </c>
      <c r="I95" s="11">
        <v>4956</v>
      </c>
      <c r="J95" s="11">
        <v>192</v>
      </c>
      <c r="K95" s="11"/>
      <c r="L95" s="11">
        <v>245</v>
      </c>
      <c r="M95" s="11"/>
      <c r="N95" s="11"/>
      <c r="O95" s="11"/>
      <c r="P95" s="11">
        <v>389</v>
      </c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>
        <v>729</v>
      </c>
      <c r="AD95" s="11"/>
      <c r="AE95" s="11"/>
      <c r="AF95" s="11"/>
      <c r="AG95" s="11"/>
      <c r="AH95" s="11"/>
      <c r="AI95" s="11">
        <v>97</v>
      </c>
      <c r="AJ95" s="11"/>
      <c r="AK95" s="11"/>
      <c r="AL95" s="11"/>
      <c r="AM95" s="11">
        <v>192</v>
      </c>
      <c r="AN95" s="11"/>
      <c r="AO95" s="11"/>
      <c r="AP95" s="11">
        <v>209</v>
      </c>
      <c r="AQ95" s="11">
        <v>425</v>
      </c>
      <c r="AR95" s="11"/>
      <c r="AS95" s="11"/>
      <c r="AT95" s="20" t="str">
        <f>HYPERLINK("http://www.openstreetmap.org/?mlat=33.416&amp;mlon=43.2696&amp;zoom=12#map=12/33.416/43.2696","Maplink1")</f>
        <v>Maplink1</v>
      </c>
      <c r="AU95" s="20" t="str">
        <f>HYPERLINK("https://www.google.iq/maps/search/+33.416,43.2696/@33.416,43.2696,14z?hl=en","Maplink2")</f>
        <v>Maplink2</v>
      </c>
      <c r="AV95" s="20" t="str">
        <f>HYPERLINK("http://www.bing.com/maps/?lvl=14&amp;sty=h&amp;cp=33.416~43.2696&amp;sp=point.33.416_43.2696","Maplink3")</f>
        <v>Maplink3</v>
      </c>
    </row>
    <row r="96" spans="1:48" x14ac:dyDescent="0.25">
      <c r="A96" s="9">
        <v>115</v>
      </c>
      <c r="B96" s="10" t="s">
        <v>8</v>
      </c>
      <c r="C96" s="10" t="s">
        <v>188</v>
      </c>
      <c r="D96" s="10" t="s">
        <v>1144</v>
      </c>
      <c r="E96" s="10" t="s">
        <v>217</v>
      </c>
      <c r="F96" s="10">
        <v>33.438446999999996</v>
      </c>
      <c r="G96" s="10">
        <v>43.325181000000001</v>
      </c>
      <c r="H96" s="11">
        <v>1102</v>
      </c>
      <c r="I96" s="11">
        <v>6612</v>
      </c>
      <c r="J96" s="11">
        <v>625</v>
      </c>
      <c r="K96" s="11"/>
      <c r="L96" s="11"/>
      <c r="M96" s="11"/>
      <c r="N96" s="11"/>
      <c r="O96" s="11"/>
      <c r="P96" s="11">
        <v>142</v>
      </c>
      <c r="Q96" s="11"/>
      <c r="R96" s="11">
        <v>156</v>
      </c>
      <c r="S96" s="11"/>
      <c r="T96" s="11"/>
      <c r="U96" s="11"/>
      <c r="V96" s="11"/>
      <c r="W96" s="11"/>
      <c r="X96" s="11"/>
      <c r="Y96" s="11">
        <v>179</v>
      </c>
      <c r="Z96" s="11"/>
      <c r="AA96" s="11"/>
      <c r="AB96" s="11"/>
      <c r="AC96" s="11">
        <v>1004</v>
      </c>
      <c r="AD96" s="11"/>
      <c r="AE96" s="11"/>
      <c r="AF96" s="11"/>
      <c r="AG96" s="11"/>
      <c r="AH96" s="11"/>
      <c r="AI96" s="11">
        <v>98</v>
      </c>
      <c r="AJ96" s="11"/>
      <c r="AK96" s="11"/>
      <c r="AL96" s="11"/>
      <c r="AM96" s="11">
        <v>135</v>
      </c>
      <c r="AN96" s="11"/>
      <c r="AO96" s="11"/>
      <c r="AP96" s="11">
        <v>296</v>
      </c>
      <c r="AQ96" s="11">
        <v>671</v>
      </c>
      <c r="AR96" s="11"/>
      <c r="AS96" s="11"/>
      <c r="AT96" s="20" t="str">
        <f>HYPERLINK("http://www.openstreetmap.org/?mlat=33.4384&amp;mlon=43.3252&amp;zoom=12#map=12/33.4384/43.3252","Maplink1")</f>
        <v>Maplink1</v>
      </c>
      <c r="AU96" s="20" t="str">
        <f>HYPERLINK("https://www.google.iq/maps/search/+33.4384,43.3252/@33.4384,43.3252,14z?hl=en","Maplink2")</f>
        <v>Maplink2</v>
      </c>
      <c r="AV96" s="20" t="str">
        <f>HYPERLINK("http://www.bing.com/maps/?lvl=14&amp;sty=h&amp;cp=33.4384~43.3252&amp;sp=point.33.4384_43.3252","Maplink3")</f>
        <v>Maplink3</v>
      </c>
    </row>
    <row r="97" spans="1:48" x14ac:dyDescent="0.25">
      <c r="A97" s="9">
        <v>25441</v>
      </c>
      <c r="B97" s="10" t="s">
        <v>8</v>
      </c>
      <c r="C97" s="10" t="s">
        <v>188</v>
      </c>
      <c r="D97" s="10" t="s">
        <v>218</v>
      </c>
      <c r="E97" s="10" t="s">
        <v>219</v>
      </c>
      <c r="F97" s="10">
        <v>33.438257999999998</v>
      </c>
      <c r="G97" s="10">
        <v>43.351342000000002</v>
      </c>
      <c r="H97" s="11">
        <v>914</v>
      </c>
      <c r="I97" s="11">
        <v>5484</v>
      </c>
      <c r="J97" s="11">
        <v>696</v>
      </c>
      <c r="K97" s="11"/>
      <c r="L97" s="11">
        <v>218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>
        <v>914</v>
      </c>
      <c r="AD97" s="11"/>
      <c r="AE97" s="11"/>
      <c r="AF97" s="11"/>
      <c r="AG97" s="11"/>
      <c r="AH97" s="11"/>
      <c r="AI97" s="11"/>
      <c r="AJ97" s="11"/>
      <c r="AK97" s="11"/>
      <c r="AL97" s="11"/>
      <c r="AM97" s="11">
        <v>409</v>
      </c>
      <c r="AN97" s="11">
        <v>505</v>
      </c>
      <c r="AO97" s="11"/>
      <c r="AP97" s="11"/>
      <c r="AQ97" s="11"/>
      <c r="AR97" s="11"/>
      <c r="AS97" s="11"/>
      <c r="AT97" s="20" t="str">
        <f>HYPERLINK("http://www.openstreetmap.org/?mlat=33.4383&amp;mlon=43.3513&amp;zoom=12#map=12/33.4383/43.3513","Maplink1")</f>
        <v>Maplink1</v>
      </c>
      <c r="AU97" s="20" t="str">
        <f>HYPERLINK("https://www.google.iq/maps/search/+33.4383,43.3513/@33.4383,43.3513,14z?hl=en","Maplink2")</f>
        <v>Maplink2</v>
      </c>
      <c r="AV97" s="20" t="str">
        <f>HYPERLINK("http://www.bing.com/maps/?lvl=14&amp;sty=h&amp;cp=33.4383~43.3513&amp;sp=point.33.4383_43.3513","Maplink3")</f>
        <v>Maplink3</v>
      </c>
    </row>
    <row r="98" spans="1:48" x14ac:dyDescent="0.25">
      <c r="A98" s="9">
        <v>24729</v>
      </c>
      <c r="B98" s="10" t="s">
        <v>8</v>
      </c>
      <c r="C98" s="10" t="s">
        <v>188</v>
      </c>
      <c r="D98" s="10" t="s">
        <v>1145</v>
      </c>
      <c r="E98" s="10" t="s">
        <v>220</v>
      </c>
      <c r="F98" s="10">
        <v>33.383673000000002</v>
      </c>
      <c r="G98" s="10">
        <v>43.526364000000001</v>
      </c>
      <c r="H98" s="11">
        <v>304</v>
      </c>
      <c r="I98" s="11">
        <v>1824</v>
      </c>
      <c r="J98" s="11">
        <v>254</v>
      </c>
      <c r="K98" s="11"/>
      <c r="L98" s="11"/>
      <c r="M98" s="11"/>
      <c r="N98" s="11"/>
      <c r="O98" s="11"/>
      <c r="P98" s="11"/>
      <c r="Q98" s="11"/>
      <c r="R98" s="11">
        <v>50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>
        <v>304</v>
      </c>
      <c r="AD98" s="11"/>
      <c r="AE98" s="11"/>
      <c r="AF98" s="11"/>
      <c r="AG98" s="11"/>
      <c r="AH98" s="11"/>
      <c r="AI98" s="11"/>
      <c r="AJ98" s="11"/>
      <c r="AK98" s="11"/>
      <c r="AL98" s="11"/>
      <c r="AM98" s="11">
        <v>50</v>
      </c>
      <c r="AN98" s="11"/>
      <c r="AO98" s="11"/>
      <c r="AP98" s="11"/>
      <c r="AQ98" s="11">
        <v>204</v>
      </c>
      <c r="AR98" s="11">
        <v>50</v>
      </c>
      <c r="AS98" s="11"/>
      <c r="AT98" s="20" t="str">
        <f>HYPERLINK("http://www.openstreetmap.org/?mlat=33.3837&amp;mlon=43.5264&amp;zoom=12#map=12/33.3837/43.5264","Maplink1")</f>
        <v>Maplink1</v>
      </c>
      <c r="AU98" s="20" t="str">
        <f>HYPERLINK("https://www.google.iq/maps/search/+33.3837,43.5264/@33.3837,43.5264,14z?hl=en","Maplink2")</f>
        <v>Maplink2</v>
      </c>
      <c r="AV98" s="20" t="str">
        <f>HYPERLINK("http://www.bing.com/maps/?lvl=14&amp;sty=h&amp;cp=33.3837~43.5264&amp;sp=point.33.3837_43.5264","Maplink3")</f>
        <v>Maplink3</v>
      </c>
    </row>
    <row r="99" spans="1:48" x14ac:dyDescent="0.25">
      <c r="A99" s="9">
        <v>21403</v>
      </c>
      <c r="B99" s="10" t="s">
        <v>8</v>
      </c>
      <c r="C99" s="10" t="s">
        <v>188</v>
      </c>
      <c r="D99" s="10" t="s">
        <v>221</v>
      </c>
      <c r="E99" s="10" t="s">
        <v>222</v>
      </c>
      <c r="F99" s="10">
        <v>33.428455</v>
      </c>
      <c r="G99" s="10">
        <v>43.361165</v>
      </c>
      <c r="H99" s="11">
        <v>1468</v>
      </c>
      <c r="I99" s="11">
        <v>8808</v>
      </c>
      <c r="J99" s="11">
        <v>689</v>
      </c>
      <c r="K99" s="11"/>
      <c r="L99" s="11">
        <v>580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>
        <v>199</v>
      </c>
      <c r="Z99" s="11"/>
      <c r="AA99" s="11"/>
      <c r="AB99" s="11"/>
      <c r="AC99" s="11">
        <v>1431</v>
      </c>
      <c r="AD99" s="11"/>
      <c r="AE99" s="11"/>
      <c r="AF99" s="11"/>
      <c r="AG99" s="11"/>
      <c r="AH99" s="11"/>
      <c r="AI99" s="11">
        <v>37</v>
      </c>
      <c r="AJ99" s="11"/>
      <c r="AK99" s="11"/>
      <c r="AL99" s="11"/>
      <c r="AM99" s="11">
        <v>37</v>
      </c>
      <c r="AN99" s="11">
        <v>199</v>
      </c>
      <c r="AO99" s="11"/>
      <c r="AP99" s="11">
        <v>580</v>
      </c>
      <c r="AQ99" s="11">
        <v>259</v>
      </c>
      <c r="AR99" s="11">
        <v>393</v>
      </c>
      <c r="AS99" s="11"/>
      <c r="AT99" s="20" t="str">
        <f>HYPERLINK("http://www.openstreetmap.org/?mlat=33.4285&amp;mlon=43.3612&amp;zoom=12#map=12/33.4285/43.3612","Maplink1")</f>
        <v>Maplink1</v>
      </c>
      <c r="AU99" s="20" t="str">
        <f>HYPERLINK("https://www.google.iq/maps/search/+33.4285,43.3612/@33.4285,43.3612,14z?hl=en","Maplink2")</f>
        <v>Maplink2</v>
      </c>
      <c r="AV99" s="20" t="str">
        <f>HYPERLINK("http://www.bing.com/maps/?lvl=14&amp;sty=h&amp;cp=33.4285~43.3612&amp;sp=point.33.4285_43.3612","Maplink3")</f>
        <v>Maplink3</v>
      </c>
    </row>
    <row r="100" spans="1:48" x14ac:dyDescent="0.25">
      <c r="A100" s="9">
        <v>23891</v>
      </c>
      <c r="B100" s="10" t="s">
        <v>8</v>
      </c>
      <c r="C100" s="10" t="s">
        <v>188</v>
      </c>
      <c r="D100" s="10" t="s">
        <v>223</v>
      </c>
      <c r="E100" s="10" t="s">
        <v>224</v>
      </c>
      <c r="F100" s="10">
        <v>33.374498000000003</v>
      </c>
      <c r="G100" s="10">
        <v>42.847051999999998</v>
      </c>
      <c r="H100" s="11">
        <v>734</v>
      </c>
      <c r="I100" s="11">
        <v>4404</v>
      </c>
      <c r="J100" s="11">
        <v>283</v>
      </c>
      <c r="K100" s="11"/>
      <c r="L100" s="11"/>
      <c r="M100" s="11"/>
      <c r="N100" s="11"/>
      <c r="O100" s="11"/>
      <c r="P100" s="11">
        <v>451</v>
      </c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>
        <v>734</v>
      </c>
      <c r="AD100" s="11"/>
      <c r="AE100" s="11"/>
      <c r="AF100" s="11"/>
      <c r="AG100" s="11"/>
      <c r="AH100" s="11"/>
      <c r="AI100" s="11"/>
      <c r="AJ100" s="11"/>
      <c r="AK100" s="11"/>
      <c r="AL100" s="11"/>
      <c r="AM100" s="11">
        <v>173</v>
      </c>
      <c r="AN100" s="11">
        <v>110</v>
      </c>
      <c r="AO100" s="11"/>
      <c r="AP100" s="11"/>
      <c r="AQ100" s="11">
        <v>451</v>
      </c>
      <c r="AR100" s="11"/>
      <c r="AS100" s="11"/>
      <c r="AT100" s="20" t="str">
        <f>HYPERLINK("http://www.openstreetmap.org/?mlat=33.3745&amp;mlon=42.8471&amp;zoom=12#map=12/33.3745/42.8471","Maplink1")</f>
        <v>Maplink1</v>
      </c>
      <c r="AU100" s="20" t="str">
        <f>HYPERLINK("https://www.google.iq/maps/search/+33.3745,42.8471/@33.3745,42.8471,14z?hl=en","Maplink2")</f>
        <v>Maplink2</v>
      </c>
      <c r="AV100" s="20" t="str">
        <f>HYPERLINK("http://www.bing.com/maps/?lvl=14&amp;sty=h&amp;cp=33.3745~42.8471&amp;sp=point.33.3745_42.8471","Maplink3")</f>
        <v>Maplink3</v>
      </c>
    </row>
    <row r="101" spans="1:48" x14ac:dyDescent="0.25">
      <c r="A101" s="9">
        <v>21227</v>
      </c>
      <c r="B101" s="10" t="s">
        <v>8</v>
      </c>
      <c r="C101" s="10" t="s">
        <v>188</v>
      </c>
      <c r="D101" s="10" t="s">
        <v>225</v>
      </c>
      <c r="E101" s="10" t="s">
        <v>226</v>
      </c>
      <c r="F101" s="10">
        <v>33.465560000000004</v>
      </c>
      <c r="G101" s="10">
        <v>43.279260999999998</v>
      </c>
      <c r="H101" s="11">
        <v>663</v>
      </c>
      <c r="I101" s="11">
        <v>3978</v>
      </c>
      <c r="J101" s="11">
        <v>370</v>
      </c>
      <c r="K101" s="11"/>
      <c r="L101" s="11"/>
      <c r="M101" s="11"/>
      <c r="N101" s="11"/>
      <c r="O101" s="11"/>
      <c r="P101" s="11">
        <v>293</v>
      </c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>
        <v>600</v>
      </c>
      <c r="AD101" s="11"/>
      <c r="AE101" s="11"/>
      <c r="AF101" s="11"/>
      <c r="AG101" s="11"/>
      <c r="AH101" s="11"/>
      <c r="AI101" s="11">
        <v>63</v>
      </c>
      <c r="AJ101" s="11"/>
      <c r="AK101" s="11"/>
      <c r="AL101" s="11"/>
      <c r="AM101" s="11">
        <v>468</v>
      </c>
      <c r="AN101" s="11"/>
      <c r="AO101" s="11"/>
      <c r="AP101" s="11"/>
      <c r="AQ101" s="11">
        <v>195</v>
      </c>
      <c r="AR101" s="11"/>
      <c r="AS101" s="11"/>
      <c r="AT101" s="20" t="str">
        <f>HYPERLINK("http://www.openstreetmap.org/?mlat=33.4656&amp;mlon=43.2793&amp;zoom=12#map=12/33.4656/43.2793","Maplink1")</f>
        <v>Maplink1</v>
      </c>
      <c r="AU101" s="20" t="str">
        <f>HYPERLINK("https://www.google.iq/maps/search/+33.4656,43.2793/@33.4656,43.2793,14z?hl=en","Maplink2")</f>
        <v>Maplink2</v>
      </c>
      <c r="AV101" s="20" t="str">
        <f>HYPERLINK("http://www.bing.com/maps/?lvl=14&amp;sty=h&amp;cp=33.4656~43.2793&amp;sp=point.33.4656_43.2793","Maplink3")</f>
        <v>Maplink3</v>
      </c>
    </row>
    <row r="102" spans="1:48" x14ac:dyDescent="0.25">
      <c r="A102" s="9">
        <v>23857</v>
      </c>
      <c r="B102" s="10" t="s">
        <v>8</v>
      </c>
      <c r="C102" s="10" t="s">
        <v>188</v>
      </c>
      <c r="D102" s="10" t="s">
        <v>227</v>
      </c>
      <c r="E102" s="10" t="s">
        <v>228</v>
      </c>
      <c r="F102" s="10">
        <v>33.392502</v>
      </c>
      <c r="G102" s="10">
        <v>43.497919000000003</v>
      </c>
      <c r="H102" s="11">
        <v>1420</v>
      </c>
      <c r="I102" s="11">
        <v>8520</v>
      </c>
      <c r="J102" s="11">
        <v>1340</v>
      </c>
      <c r="K102" s="11"/>
      <c r="L102" s="11">
        <v>25</v>
      </c>
      <c r="M102" s="11"/>
      <c r="N102" s="11"/>
      <c r="O102" s="11"/>
      <c r="P102" s="11"/>
      <c r="Q102" s="11"/>
      <c r="R102" s="11">
        <v>50</v>
      </c>
      <c r="S102" s="11"/>
      <c r="T102" s="11"/>
      <c r="U102" s="11"/>
      <c r="V102" s="11"/>
      <c r="W102" s="11"/>
      <c r="X102" s="11"/>
      <c r="Y102" s="11">
        <v>5</v>
      </c>
      <c r="Z102" s="11"/>
      <c r="AA102" s="11"/>
      <c r="AB102" s="11"/>
      <c r="AC102" s="11">
        <v>1420</v>
      </c>
      <c r="AD102" s="11"/>
      <c r="AE102" s="11"/>
      <c r="AF102" s="11"/>
      <c r="AG102" s="11"/>
      <c r="AH102" s="11"/>
      <c r="AI102" s="11"/>
      <c r="AJ102" s="11"/>
      <c r="AK102" s="11"/>
      <c r="AL102" s="11"/>
      <c r="AM102" s="11">
        <v>140</v>
      </c>
      <c r="AN102" s="11"/>
      <c r="AO102" s="11"/>
      <c r="AP102" s="11"/>
      <c r="AQ102" s="11">
        <v>135</v>
      </c>
      <c r="AR102" s="11">
        <v>1145</v>
      </c>
      <c r="AS102" s="11"/>
      <c r="AT102" s="20" t="str">
        <f>HYPERLINK("http://www.openstreetmap.org/?mlat=33.3925&amp;mlon=43.4979&amp;zoom=12#map=12/33.3925/43.4979","Maplink1")</f>
        <v>Maplink1</v>
      </c>
      <c r="AU102" s="20" t="str">
        <f>HYPERLINK("https://www.google.iq/maps/search/+33.3925,43.4979/@33.3925,43.4979,14z?hl=en","Maplink2")</f>
        <v>Maplink2</v>
      </c>
      <c r="AV102" s="20" t="str">
        <f>HYPERLINK("http://www.bing.com/maps/?lvl=14&amp;sty=h&amp;cp=33.3925~43.4979&amp;sp=point.33.3925_43.4979","Maplink3")</f>
        <v>Maplink3</v>
      </c>
    </row>
    <row r="103" spans="1:48" x14ac:dyDescent="0.25">
      <c r="A103" s="9">
        <v>185</v>
      </c>
      <c r="B103" s="10" t="s">
        <v>8</v>
      </c>
      <c r="C103" s="10" t="s">
        <v>188</v>
      </c>
      <c r="D103" s="10" t="s">
        <v>229</v>
      </c>
      <c r="E103" s="10" t="s">
        <v>230</v>
      </c>
      <c r="F103" s="10">
        <v>33.430365999999999</v>
      </c>
      <c r="G103" s="10">
        <v>43.312452</v>
      </c>
      <c r="H103" s="11">
        <v>1653</v>
      </c>
      <c r="I103" s="11">
        <v>9918</v>
      </c>
      <c r="J103" s="11">
        <v>942</v>
      </c>
      <c r="K103" s="11"/>
      <c r="L103" s="11">
        <v>141</v>
      </c>
      <c r="M103" s="11"/>
      <c r="N103" s="11"/>
      <c r="O103" s="11"/>
      <c r="P103" s="11">
        <v>570</v>
      </c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>
        <v>1653</v>
      </c>
      <c r="AD103" s="11"/>
      <c r="AE103" s="11"/>
      <c r="AF103" s="11"/>
      <c r="AG103" s="11"/>
      <c r="AH103" s="11"/>
      <c r="AI103" s="11"/>
      <c r="AJ103" s="11"/>
      <c r="AK103" s="11"/>
      <c r="AL103" s="11"/>
      <c r="AM103" s="11">
        <v>995</v>
      </c>
      <c r="AN103" s="11"/>
      <c r="AO103" s="11"/>
      <c r="AP103" s="11">
        <v>476</v>
      </c>
      <c r="AQ103" s="11"/>
      <c r="AR103" s="11">
        <v>182</v>
      </c>
      <c r="AS103" s="11"/>
      <c r="AT103" s="20" t="str">
        <f>HYPERLINK("http://www.openstreetmap.org/?mlat=33.4304&amp;mlon=43.3125&amp;zoom=12#map=12/33.4304/43.3125","Maplink1")</f>
        <v>Maplink1</v>
      </c>
      <c r="AU103" s="20" t="str">
        <f>HYPERLINK("https://www.google.iq/maps/search/+33.4304,43.3125/@33.4304,43.3125,14z?hl=en","Maplink2")</f>
        <v>Maplink2</v>
      </c>
      <c r="AV103" s="20" t="str">
        <f>HYPERLINK("http://www.bing.com/maps/?lvl=14&amp;sty=h&amp;cp=33.4304~43.3125&amp;sp=point.33.4304_43.3125","Maplink3")</f>
        <v>Maplink3</v>
      </c>
    </row>
    <row r="104" spans="1:48" x14ac:dyDescent="0.25">
      <c r="A104" s="9">
        <v>206</v>
      </c>
      <c r="B104" s="10" t="s">
        <v>8</v>
      </c>
      <c r="C104" s="10" t="s">
        <v>188</v>
      </c>
      <c r="D104" s="10" t="s">
        <v>231</v>
      </c>
      <c r="E104" s="10" t="s">
        <v>232</v>
      </c>
      <c r="F104" s="10">
        <v>33.386231000000002</v>
      </c>
      <c r="G104" s="10">
        <v>43.524839</v>
      </c>
      <c r="H104" s="11">
        <v>375</v>
      </c>
      <c r="I104" s="11">
        <v>2250</v>
      </c>
      <c r="J104" s="11">
        <v>190</v>
      </c>
      <c r="K104" s="11"/>
      <c r="L104" s="11">
        <v>59</v>
      </c>
      <c r="M104" s="11"/>
      <c r="N104" s="11"/>
      <c r="O104" s="11"/>
      <c r="P104" s="11"/>
      <c r="Q104" s="11"/>
      <c r="R104" s="11">
        <v>103</v>
      </c>
      <c r="S104" s="11"/>
      <c r="T104" s="11"/>
      <c r="U104" s="11"/>
      <c r="V104" s="11"/>
      <c r="W104" s="11"/>
      <c r="X104" s="11"/>
      <c r="Y104" s="11">
        <v>23</v>
      </c>
      <c r="Z104" s="11"/>
      <c r="AA104" s="11"/>
      <c r="AB104" s="11"/>
      <c r="AC104" s="11">
        <v>375</v>
      </c>
      <c r="AD104" s="11"/>
      <c r="AE104" s="11"/>
      <c r="AF104" s="11"/>
      <c r="AG104" s="11"/>
      <c r="AH104" s="11"/>
      <c r="AI104" s="11"/>
      <c r="AJ104" s="11"/>
      <c r="AK104" s="11"/>
      <c r="AL104" s="11"/>
      <c r="AM104" s="11">
        <v>121</v>
      </c>
      <c r="AN104" s="11">
        <v>23</v>
      </c>
      <c r="AO104" s="11"/>
      <c r="AP104" s="11">
        <v>103</v>
      </c>
      <c r="AQ104" s="11">
        <v>128</v>
      </c>
      <c r="AR104" s="11"/>
      <c r="AS104" s="11"/>
      <c r="AT104" s="20" t="str">
        <f>HYPERLINK("http://www.openstreetmap.org/?mlat=33.3862&amp;mlon=43.5248&amp;zoom=12#map=12/33.3862/43.5248","Maplink1")</f>
        <v>Maplink1</v>
      </c>
      <c r="AU104" s="20" t="str">
        <f>HYPERLINK("https://www.google.iq/maps/search/+33.3862,43.5248/@33.3862,43.5248,14z?hl=en","Maplink2")</f>
        <v>Maplink2</v>
      </c>
      <c r="AV104" s="20" t="str">
        <f>HYPERLINK("http://www.bing.com/maps/?lvl=14&amp;sty=h&amp;cp=33.3862~43.5248&amp;sp=point.33.3862_43.5248","Maplink3")</f>
        <v>Maplink3</v>
      </c>
    </row>
    <row r="105" spans="1:48" x14ac:dyDescent="0.25">
      <c r="A105" s="9">
        <v>297</v>
      </c>
      <c r="B105" s="10" t="s">
        <v>8</v>
      </c>
      <c r="C105" s="10" t="s">
        <v>188</v>
      </c>
      <c r="D105" s="10" t="s">
        <v>233</v>
      </c>
      <c r="E105" s="10" t="s">
        <v>234</v>
      </c>
      <c r="F105" s="10">
        <v>33.434693000000003</v>
      </c>
      <c r="G105" s="10">
        <v>43.297004000000001</v>
      </c>
      <c r="H105" s="11">
        <v>1090</v>
      </c>
      <c r="I105" s="11">
        <v>6540</v>
      </c>
      <c r="J105" s="11">
        <v>1090</v>
      </c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>
        <v>781</v>
      </c>
      <c r="AD105" s="11"/>
      <c r="AE105" s="11"/>
      <c r="AF105" s="11"/>
      <c r="AG105" s="11"/>
      <c r="AH105" s="11"/>
      <c r="AI105" s="11">
        <v>309</v>
      </c>
      <c r="AJ105" s="11"/>
      <c r="AK105" s="11"/>
      <c r="AL105" s="11"/>
      <c r="AM105" s="11">
        <v>373</v>
      </c>
      <c r="AN105" s="11"/>
      <c r="AO105" s="11"/>
      <c r="AP105" s="11">
        <v>163</v>
      </c>
      <c r="AQ105" s="11">
        <v>506</v>
      </c>
      <c r="AR105" s="11">
        <v>48</v>
      </c>
      <c r="AS105" s="11"/>
      <c r="AT105" s="20" t="str">
        <f>HYPERLINK("http://www.openstreetmap.org/?mlat=33.4347&amp;mlon=43.297&amp;zoom=12#map=12/33.4347/43.297","Maplink1")</f>
        <v>Maplink1</v>
      </c>
      <c r="AU105" s="20" t="str">
        <f>HYPERLINK("https://www.google.iq/maps/search/+33.4347,43.297/@33.4347,43.297,14z?hl=en","Maplink2")</f>
        <v>Maplink2</v>
      </c>
      <c r="AV105" s="20" t="str">
        <f>HYPERLINK("http://www.bing.com/maps/?lvl=14&amp;sty=h&amp;cp=33.4347~43.297&amp;sp=point.33.4347_43.297","Maplink3")</f>
        <v>Maplink3</v>
      </c>
    </row>
    <row r="106" spans="1:48" x14ac:dyDescent="0.25">
      <c r="A106" s="9">
        <v>29486</v>
      </c>
      <c r="B106" s="10" t="s">
        <v>8</v>
      </c>
      <c r="C106" s="10" t="s">
        <v>188</v>
      </c>
      <c r="D106" s="10" t="s">
        <v>109</v>
      </c>
      <c r="E106" s="10" t="s">
        <v>235</v>
      </c>
      <c r="F106" s="10">
        <v>33.435153</v>
      </c>
      <c r="G106" s="10">
        <v>43.319515000000003</v>
      </c>
      <c r="H106" s="11">
        <v>845</v>
      </c>
      <c r="I106" s="11">
        <v>5070</v>
      </c>
      <c r="J106" s="11">
        <v>697</v>
      </c>
      <c r="K106" s="11">
        <v>148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>
        <v>845</v>
      </c>
      <c r="AD106" s="11"/>
      <c r="AE106" s="11"/>
      <c r="AF106" s="11"/>
      <c r="AG106" s="11"/>
      <c r="AH106" s="11"/>
      <c r="AI106" s="11"/>
      <c r="AJ106" s="11"/>
      <c r="AK106" s="11"/>
      <c r="AL106" s="11"/>
      <c r="AM106" s="11">
        <v>106</v>
      </c>
      <c r="AN106" s="11">
        <v>531</v>
      </c>
      <c r="AO106" s="11"/>
      <c r="AP106" s="11"/>
      <c r="AQ106" s="11">
        <v>208</v>
      </c>
      <c r="AR106" s="11"/>
      <c r="AS106" s="11"/>
      <c r="AT106" s="20" t="str">
        <f>HYPERLINK("http://www.openstreetmap.org/?mlat=33.4352&amp;mlon=43.3195&amp;zoom=12#map=12/33.4352/43.3195","Maplink1")</f>
        <v>Maplink1</v>
      </c>
      <c r="AU106" s="20" t="str">
        <f>HYPERLINK("https://www.google.iq/maps/search/+33.4352,43.3195/@33.4352,43.3195,14z?hl=en","Maplink2")</f>
        <v>Maplink2</v>
      </c>
      <c r="AV106" s="20" t="str">
        <f>HYPERLINK("http://www.bing.com/maps/?lvl=14&amp;sty=h&amp;cp=33.4352~43.3195&amp;sp=point.33.4352_43.3195","Maplink3")</f>
        <v>Maplink3</v>
      </c>
    </row>
    <row r="107" spans="1:48" x14ac:dyDescent="0.25">
      <c r="A107" s="9">
        <v>204</v>
      </c>
      <c r="B107" s="10" t="s">
        <v>8</v>
      </c>
      <c r="C107" s="10" t="s">
        <v>188</v>
      </c>
      <c r="D107" s="10" t="s">
        <v>236</v>
      </c>
      <c r="E107" s="10" t="s">
        <v>237</v>
      </c>
      <c r="F107" s="10">
        <v>33.412877000000002</v>
      </c>
      <c r="G107" s="10">
        <v>43.274667999999998</v>
      </c>
      <c r="H107" s="11">
        <v>1164</v>
      </c>
      <c r="I107" s="11">
        <v>6984</v>
      </c>
      <c r="J107" s="11">
        <v>143</v>
      </c>
      <c r="K107" s="11"/>
      <c r="L107" s="11">
        <v>637</v>
      </c>
      <c r="M107" s="11"/>
      <c r="N107" s="11"/>
      <c r="O107" s="11"/>
      <c r="P107" s="11">
        <v>150</v>
      </c>
      <c r="Q107" s="11"/>
      <c r="R107" s="11">
        <v>234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>
        <v>1164</v>
      </c>
      <c r="AD107" s="11"/>
      <c r="AE107" s="11"/>
      <c r="AF107" s="11"/>
      <c r="AG107" s="11"/>
      <c r="AH107" s="11"/>
      <c r="AI107" s="11"/>
      <c r="AJ107" s="11"/>
      <c r="AK107" s="11"/>
      <c r="AL107" s="11"/>
      <c r="AM107" s="11">
        <v>264</v>
      </c>
      <c r="AN107" s="11">
        <v>213</v>
      </c>
      <c r="AO107" s="11"/>
      <c r="AP107" s="11">
        <v>392</v>
      </c>
      <c r="AQ107" s="11">
        <v>295</v>
      </c>
      <c r="AR107" s="11"/>
      <c r="AS107" s="11"/>
      <c r="AT107" s="20" t="str">
        <f>HYPERLINK("http://www.openstreetmap.org/?mlat=33.4129&amp;mlon=43.2747&amp;zoom=12#map=12/33.4129/43.2747","Maplink1")</f>
        <v>Maplink1</v>
      </c>
      <c r="AU107" s="20" t="str">
        <f>HYPERLINK("https://www.google.iq/maps/search/+33.4129,43.2747/@33.4129,43.2747,14z?hl=en","Maplink2")</f>
        <v>Maplink2</v>
      </c>
      <c r="AV107" s="20" t="str">
        <f>HYPERLINK("http://www.bing.com/maps/?lvl=14&amp;sty=h&amp;cp=33.4129~43.2747&amp;sp=point.33.4129_43.2747","Maplink3")</f>
        <v>Maplink3</v>
      </c>
    </row>
    <row r="108" spans="1:48" x14ac:dyDescent="0.25">
      <c r="A108" s="9">
        <v>29561</v>
      </c>
      <c r="B108" s="10" t="s">
        <v>8</v>
      </c>
      <c r="C108" s="10" t="s">
        <v>188</v>
      </c>
      <c r="D108" s="10" t="s">
        <v>1255</v>
      </c>
      <c r="E108" s="10" t="s">
        <v>238</v>
      </c>
      <c r="F108" s="10">
        <v>33.252234999999999</v>
      </c>
      <c r="G108" s="10">
        <v>43.154100999999997</v>
      </c>
      <c r="H108" s="11">
        <v>867</v>
      </c>
      <c r="I108" s="11">
        <v>5202</v>
      </c>
      <c r="J108" s="11">
        <v>721</v>
      </c>
      <c r="K108" s="11"/>
      <c r="L108" s="11"/>
      <c r="M108" s="11"/>
      <c r="N108" s="11"/>
      <c r="O108" s="11"/>
      <c r="P108" s="11">
        <v>146</v>
      </c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>
        <v>831</v>
      </c>
      <c r="AD108" s="11"/>
      <c r="AE108" s="11"/>
      <c r="AF108" s="11"/>
      <c r="AG108" s="11"/>
      <c r="AH108" s="11"/>
      <c r="AI108" s="11">
        <v>36</v>
      </c>
      <c r="AJ108" s="11"/>
      <c r="AK108" s="11"/>
      <c r="AL108" s="11"/>
      <c r="AM108" s="11">
        <v>173</v>
      </c>
      <c r="AN108" s="11"/>
      <c r="AO108" s="11"/>
      <c r="AP108" s="11"/>
      <c r="AQ108" s="11">
        <v>694</v>
      </c>
      <c r="AR108" s="11"/>
      <c r="AS108" s="11"/>
      <c r="AT108" s="20" t="str">
        <f>HYPERLINK("http://www.openstreetmap.org/?mlat=33.2522&amp;mlon=43.1541&amp;zoom=12#map=12/33.2522/43.1541","Maplink1")</f>
        <v>Maplink1</v>
      </c>
      <c r="AU108" s="20" t="str">
        <f>HYPERLINK("https://www.google.iq/maps/search/+33.2522,43.1541/@33.2522,43.1541,14z?hl=en","Maplink2")</f>
        <v>Maplink2</v>
      </c>
      <c r="AV108" s="20" t="str">
        <f>HYPERLINK("http://www.bing.com/maps/?lvl=14&amp;sty=h&amp;cp=33.2522~43.1541&amp;sp=point.33.2522_43.1541","Maplink3")</f>
        <v>Maplink3</v>
      </c>
    </row>
    <row r="109" spans="1:48" x14ac:dyDescent="0.25">
      <c r="A109" s="9">
        <v>21997</v>
      </c>
      <c r="B109" s="10" t="s">
        <v>8</v>
      </c>
      <c r="C109" s="10" t="s">
        <v>188</v>
      </c>
      <c r="D109" s="10" t="s">
        <v>239</v>
      </c>
      <c r="E109" s="10" t="s">
        <v>240</v>
      </c>
      <c r="F109" s="10">
        <v>33.422955000000002</v>
      </c>
      <c r="G109" s="10">
        <v>43.271284000000001</v>
      </c>
      <c r="H109" s="11">
        <v>961</v>
      </c>
      <c r="I109" s="11">
        <v>5766</v>
      </c>
      <c r="J109" s="11">
        <v>269</v>
      </c>
      <c r="K109" s="11"/>
      <c r="L109" s="11">
        <v>225</v>
      </c>
      <c r="M109" s="11"/>
      <c r="N109" s="11"/>
      <c r="O109" s="11"/>
      <c r="P109" s="11">
        <v>120</v>
      </c>
      <c r="Q109" s="11"/>
      <c r="R109" s="11">
        <v>347</v>
      </c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>
        <v>871</v>
      </c>
      <c r="AD109" s="11"/>
      <c r="AE109" s="11"/>
      <c r="AF109" s="11"/>
      <c r="AG109" s="11"/>
      <c r="AH109" s="11"/>
      <c r="AI109" s="11">
        <v>90</v>
      </c>
      <c r="AJ109" s="11"/>
      <c r="AK109" s="11"/>
      <c r="AL109" s="11"/>
      <c r="AM109" s="11">
        <v>87</v>
      </c>
      <c r="AN109" s="11">
        <v>92</v>
      </c>
      <c r="AO109" s="11"/>
      <c r="AP109" s="11">
        <v>347</v>
      </c>
      <c r="AQ109" s="11">
        <v>435</v>
      </c>
      <c r="AR109" s="11"/>
      <c r="AS109" s="11"/>
      <c r="AT109" s="20" t="str">
        <f>HYPERLINK("http://www.openstreetmap.org/?mlat=33.423&amp;mlon=43.2713&amp;zoom=12#map=12/33.423/43.2713","Maplink1")</f>
        <v>Maplink1</v>
      </c>
      <c r="AU109" s="20" t="str">
        <f>HYPERLINK("https://www.google.iq/maps/search/+33.423,43.2713/@33.423,43.2713,14z?hl=en","Maplink2")</f>
        <v>Maplink2</v>
      </c>
      <c r="AV109" s="20" t="str">
        <f>HYPERLINK("http://www.bing.com/maps/?lvl=14&amp;sty=h&amp;cp=33.423~43.2713&amp;sp=point.33.423_43.2713","Maplink3")</f>
        <v>Maplink3</v>
      </c>
    </row>
    <row r="110" spans="1:48" x14ac:dyDescent="0.25">
      <c r="A110" s="9">
        <v>210</v>
      </c>
      <c r="B110" s="10" t="s">
        <v>8</v>
      </c>
      <c r="C110" s="10" t="s">
        <v>188</v>
      </c>
      <c r="D110" s="10" t="s">
        <v>241</v>
      </c>
      <c r="E110" s="10" t="s">
        <v>242</v>
      </c>
      <c r="F110" s="10">
        <v>33.417959000000003</v>
      </c>
      <c r="G110" s="10">
        <v>43.278758000000003</v>
      </c>
      <c r="H110" s="11">
        <v>934</v>
      </c>
      <c r="I110" s="11">
        <v>5604</v>
      </c>
      <c r="J110" s="11">
        <v>483</v>
      </c>
      <c r="K110" s="11"/>
      <c r="L110" s="11">
        <v>215</v>
      </c>
      <c r="M110" s="11"/>
      <c r="N110" s="11"/>
      <c r="O110" s="11"/>
      <c r="P110" s="11">
        <v>236</v>
      </c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>
        <v>934</v>
      </c>
      <c r="AD110" s="11"/>
      <c r="AE110" s="11"/>
      <c r="AF110" s="11"/>
      <c r="AG110" s="11"/>
      <c r="AH110" s="11"/>
      <c r="AI110" s="11"/>
      <c r="AJ110" s="11"/>
      <c r="AK110" s="11"/>
      <c r="AL110" s="11"/>
      <c r="AM110" s="11">
        <v>82</v>
      </c>
      <c r="AN110" s="11">
        <v>125</v>
      </c>
      <c r="AO110" s="11"/>
      <c r="AP110" s="11">
        <v>583</v>
      </c>
      <c r="AQ110" s="11">
        <v>144</v>
      </c>
      <c r="AR110" s="11"/>
      <c r="AS110" s="11"/>
      <c r="AT110" s="20" t="str">
        <f>HYPERLINK("http://www.openstreetmap.org/?mlat=33.418&amp;mlon=43.2788&amp;zoom=12#map=12/33.418/43.2788","Maplink1")</f>
        <v>Maplink1</v>
      </c>
      <c r="AU110" s="20" t="str">
        <f>HYPERLINK("https://www.google.iq/maps/search/+33.418,43.2788/@33.418,43.2788,14z?hl=en","Maplink2")</f>
        <v>Maplink2</v>
      </c>
      <c r="AV110" s="20" t="str">
        <f>HYPERLINK("http://www.bing.com/maps/?lvl=14&amp;sty=h&amp;cp=33.418~43.2788&amp;sp=point.33.418_43.2788","Maplink3")</f>
        <v>Maplink3</v>
      </c>
    </row>
    <row r="111" spans="1:48" x14ac:dyDescent="0.25">
      <c r="A111" s="9">
        <v>23602</v>
      </c>
      <c r="B111" s="10" t="s">
        <v>8</v>
      </c>
      <c r="C111" s="10" t="s">
        <v>188</v>
      </c>
      <c r="D111" s="10" t="s">
        <v>243</v>
      </c>
      <c r="E111" s="10" t="s">
        <v>244</v>
      </c>
      <c r="F111" s="10">
        <v>33.418756999999999</v>
      </c>
      <c r="G111" s="10">
        <v>43.308495999999998</v>
      </c>
      <c r="H111" s="11">
        <v>1303</v>
      </c>
      <c r="I111" s="11">
        <v>7818</v>
      </c>
      <c r="J111" s="11">
        <v>1097</v>
      </c>
      <c r="K111" s="11"/>
      <c r="L111" s="11"/>
      <c r="M111" s="11"/>
      <c r="N111" s="11"/>
      <c r="O111" s="11"/>
      <c r="P111" s="11"/>
      <c r="Q111" s="11"/>
      <c r="R111" s="11">
        <v>206</v>
      </c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>
        <v>1244</v>
      </c>
      <c r="AD111" s="11"/>
      <c r="AE111" s="11"/>
      <c r="AF111" s="11"/>
      <c r="AG111" s="11"/>
      <c r="AH111" s="11"/>
      <c r="AI111" s="11">
        <v>59</v>
      </c>
      <c r="AJ111" s="11"/>
      <c r="AK111" s="11"/>
      <c r="AL111" s="11"/>
      <c r="AM111" s="11">
        <v>338</v>
      </c>
      <c r="AN111" s="11"/>
      <c r="AO111" s="11"/>
      <c r="AP111" s="11"/>
      <c r="AQ111" s="11">
        <v>965</v>
      </c>
      <c r="AR111" s="11"/>
      <c r="AS111" s="11"/>
      <c r="AT111" s="20" t="str">
        <f>HYPERLINK("http://www.openstreetmap.org/?mlat=33.4188&amp;mlon=43.3085&amp;zoom=12#map=12/33.4188/43.3085","Maplink1")</f>
        <v>Maplink1</v>
      </c>
      <c r="AU111" s="20" t="str">
        <f>HYPERLINK("https://www.google.iq/maps/search/+33.4188,43.3085/@33.4188,43.3085,14z?hl=en","Maplink2")</f>
        <v>Maplink2</v>
      </c>
      <c r="AV111" s="20" t="str">
        <f>HYPERLINK("http://www.bing.com/maps/?lvl=14&amp;sty=h&amp;cp=33.4188~43.3085&amp;sp=point.33.4188_43.3085","Maplink3")</f>
        <v>Maplink3</v>
      </c>
    </row>
    <row r="112" spans="1:48" x14ac:dyDescent="0.25">
      <c r="A112" s="9">
        <v>23023</v>
      </c>
      <c r="B112" s="10" t="s">
        <v>8</v>
      </c>
      <c r="C112" s="10" t="s">
        <v>188</v>
      </c>
      <c r="D112" s="10" t="s">
        <v>245</v>
      </c>
      <c r="E112" s="10" t="s">
        <v>246</v>
      </c>
      <c r="F112" s="10">
        <v>33.424380999999997</v>
      </c>
      <c r="G112" s="10">
        <v>43.322237000000001</v>
      </c>
      <c r="H112" s="11">
        <v>1097</v>
      </c>
      <c r="I112" s="11">
        <v>6582</v>
      </c>
      <c r="J112" s="11">
        <v>606</v>
      </c>
      <c r="K112" s="11"/>
      <c r="L112" s="11"/>
      <c r="M112" s="11"/>
      <c r="N112" s="11"/>
      <c r="O112" s="11"/>
      <c r="P112" s="11">
        <v>491</v>
      </c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>
        <v>936</v>
      </c>
      <c r="AD112" s="11"/>
      <c r="AE112" s="11"/>
      <c r="AF112" s="11"/>
      <c r="AG112" s="11"/>
      <c r="AH112" s="11"/>
      <c r="AI112" s="11">
        <v>161</v>
      </c>
      <c r="AJ112" s="11"/>
      <c r="AK112" s="11"/>
      <c r="AL112" s="11"/>
      <c r="AM112" s="11">
        <v>390</v>
      </c>
      <c r="AN112" s="11"/>
      <c r="AO112" s="11"/>
      <c r="AP112" s="11"/>
      <c r="AQ112" s="11">
        <v>707</v>
      </c>
      <c r="AR112" s="11"/>
      <c r="AS112" s="11"/>
      <c r="AT112" s="20" t="str">
        <f>HYPERLINK("http://www.openstreetmap.org/?mlat=33.4244&amp;mlon=43.3222&amp;zoom=12#map=12/33.4244/43.3222","Maplink1")</f>
        <v>Maplink1</v>
      </c>
      <c r="AU112" s="20" t="str">
        <f>HYPERLINK("https://www.google.iq/maps/search/+33.4244,43.3222/@33.4244,43.3222,14z?hl=en","Maplink2")</f>
        <v>Maplink2</v>
      </c>
      <c r="AV112" s="20" t="str">
        <f>HYPERLINK("http://www.bing.com/maps/?lvl=14&amp;sty=h&amp;cp=33.4244~43.3222&amp;sp=point.33.4244_43.3222","Maplink3")</f>
        <v>Maplink3</v>
      </c>
    </row>
    <row r="113" spans="1:48" x14ac:dyDescent="0.25">
      <c r="A113" s="9">
        <v>23853</v>
      </c>
      <c r="B113" s="10" t="s">
        <v>8</v>
      </c>
      <c r="C113" s="10" t="s">
        <v>188</v>
      </c>
      <c r="D113" s="10" t="s">
        <v>247</v>
      </c>
      <c r="E113" s="10" t="s">
        <v>248</v>
      </c>
      <c r="F113" s="10">
        <v>33.377589</v>
      </c>
      <c r="G113" s="10">
        <v>43.570919000000004</v>
      </c>
      <c r="H113" s="11">
        <v>315</v>
      </c>
      <c r="I113" s="11">
        <v>1890</v>
      </c>
      <c r="J113" s="11">
        <v>189</v>
      </c>
      <c r="K113" s="11"/>
      <c r="L113" s="11">
        <v>86</v>
      </c>
      <c r="M113" s="11"/>
      <c r="N113" s="11"/>
      <c r="O113" s="11"/>
      <c r="P113" s="11"/>
      <c r="Q113" s="11"/>
      <c r="R113" s="11">
        <v>40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>
        <v>315</v>
      </c>
      <c r="AD113" s="11"/>
      <c r="AE113" s="11"/>
      <c r="AF113" s="11"/>
      <c r="AG113" s="11"/>
      <c r="AH113" s="11"/>
      <c r="AI113" s="11"/>
      <c r="AJ113" s="11"/>
      <c r="AK113" s="11"/>
      <c r="AL113" s="11"/>
      <c r="AM113" s="11">
        <v>61</v>
      </c>
      <c r="AN113" s="11">
        <v>79</v>
      </c>
      <c r="AO113" s="11"/>
      <c r="AP113" s="11"/>
      <c r="AQ113" s="11">
        <v>149</v>
      </c>
      <c r="AR113" s="11">
        <v>26</v>
      </c>
      <c r="AS113" s="11"/>
      <c r="AT113" s="20" t="str">
        <f>HYPERLINK("http://www.openstreetmap.org/?mlat=33.3776&amp;mlon=43.5709&amp;zoom=12#map=12/33.3776/43.5709","Maplink1")</f>
        <v>Maplink1</v>
      </c>
      <c r="AU113" s="20" t="str">
        <f>HYPERLINK("https://www.google.iq/maps/search/+33.3776,43.5709/@33.3776,43.5709,14z?hl=en","Maplink2")</f>
        <v>Maplink2</v>
      </c>
      <c r="AV113" s="20" t="str">
        <f>HYPERLINK("http://www.bing.com/maps/?lvl=14&amp;sty=h&amp;cp=33.3776~43.5709&amp;sp=point.33.3776_43.5709","Maplink3")</f>
        <v>Maplink3</v>
      </c>
    </row>
    <row r="114" spans="1:48" x14ac:dyDescent="0.25">
      <c r="A114" s="9">
        <v>113</v>
      </c>
      <c r="B114" s="10" t="s">
        <v>8</v>
      </c>
      <c r="C114" s="10" t="s">
        <v>188</v>
      </c>
      <c r="D114" s="10" t="s">
        <v>249</v>
      </c>
      <c r="E114" s="10" t="s">
        <v>250</v>
      </c>
      <c r="F114" s="10">
        <v>33.409582</v>
      </c>
      <c r="G114" s="10">
        <v>43.445441000000002</v>
      </c>
      <c r="H114" s="11">
        <v>1001</v>
      </c>
      <c r="I114" s="11">
        <v>6006</v>
      </c>
      <c r="J114" s="11">
        <v>965</v>
      </c>
      <c r="K114" s="11"/>
      <c r="L114" s="11"/>
      <c r="M114" s="11"/>
      <c r="N114" s="11"/>
      <c r="O114" s="11"/>
      <c r="P114" s="11">
        <v>36</v>
      </c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>
        <v>1001</v>
      </c>
      <c r="AD114" s="11"/>
      <c r="AE114" s="11"/>
      <c r="AF114" s="11"/>
      <c r="AG114" s="11"/>
      <c r="AH114" s="11"/>
      <c r="AI114" s="11"/>
      <c r="AJ114" s="11"/>
      <c r="AK114" s="11"/>
      <c r="AL114" s="11"/>
      <c r="AM114" s="11">
        <v>62</v>
      </c>
      <c r="AN114" s="11"/>
      <c r="AO114" s="11"/>
      <c r="AP114" s="11"/>
      <c r="AQ114" s="11">
        <v>781</v>
      </c>
      <c r="AR114" s="11">
        <v>158</v>
      </c>
      <c r="AS114" s="11"/>
      <c r="AT114" s="20" t="str">
        <f>HYPERLINK("http://www.openstreetmap.org/?mlat=33.4096&amp;mlon=43.4454&amp;zoom=12#map=12/33.4096/43.4454","Maplink1")</f>
        <v>Maplink1</v>
      </c>
      <c r="AU114" s="20" t="str">
        <f>HYPERLINK("https://www.google.iq/maps/search/+33.4096,43.4454/@33.4096,43.4454,14z?hl=en","Maplink2")</f>
        <v>Maplink2</v>
      </c>
      <c r="AV114" s="20" t="str">
        <f>HYPERLINK("http://www.bing.com/maps/?lvl=14&amp;sty=h&amp;cp=33.4096~43.4454&amp;sp=point.33.4096_43.4454","Maplink3")</f>
        <v>Maplink3</v>
      </c>
    </row>
    <row r="115" spans="1:48" x14ac:dyDescent="0.25">
      <c r="A115" s="9">
        <v>29485</v>
      </c>
      <c r="B115" s="10" t="s">
        <v>8</v>
      </c>
      <c r="C115" s="10" t="s">
        <v>188</v>
      </c>
      <c r="D115" s="10" t="s">
        <v>1256</v>
      </c>
      <c r="E115" s="10" t="s">
        <v>251</v>
      </c>
      <c r="F115" s="10">
        <v>33.448698999999998</v>
      </c>
      <c r="G115" s="10">
        <v>43.403855999999998</v>
      </c>
      <c r="H115" s="11">
        <v>1637</v>
      </c>
      <c r="I115" s="11">
        <v>9822</v>
      </c>
      <c r="J115" s="11">
        <v>1637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>
        <v>1637</v>
      </c>
      <c r="AD115" s="11"/>
      <c r="AE115" s="11"/>
      <c r="AF115" s="11"/>
      <c r="AG115" s="11"/>
      <c r="AH115" s="11"/>
      <c r="AI115" s="11"/>
      <c r="AJ115" s="11"/>
      <c r="AK115" s="11"/>
      <c r="AL115" s="11"/>
      <c r="AM115" s="11">
        <v>252</v>
      </c>
      <c r="AN115" s="11"/>
      <c r="AO115" s="11"/>
      <c r="AP115" s="11">
        <v>1245</v>
      </c>
      <c r="AQ115" s="11">
        <v>140</v>
      </c>
      <c r="AR115" s="11"/>
      <c r="AS115" s="11"/>
      <c r="AT115" s="20" t="str">
        <f>HYPERLINK("http://www.openstreetmap.org/?mlat=33.4487&amp;mlon=43.4039&amp;zoom=12#map=12/33.4487/43.4039","Maplink1")</f>
        <v>Maplink1</v>
      </c>
      <c r="AU115" s="20" t="str">
        <f>HYPERLINK("https://www.google.iq/maps/search/+33.4487,43.4039/@33.4487,43.4039,14z?hl=en","Maplink2")</f>
        <v>Maplink2</v>
      </c>
      <c r="AV115" s="20" t="str">
        <f>HYPERLINK("http://www.bing.com/maps/?lvl=14&amp;sty=h&amp;cp=33.4487~43.4039&amp;sp=point.33.4487_43.4039","Maplink3")</f>
        <v>Maplink3</v>
      </c>
    </row>
    <row r="116" spans="1:48" x14ac:dyDescent="0.25">
      <c r="A116" s="9">
        <v>308</v>
      </c>
      <c r="B116" s="10" t="s">
        <v>8</v>
      </c>
      <c r="C116" s="10" t="s">
        <v>188</v>
      </c>
      <c r="D116" s="10" t="s">
        <v>1146</v>
      </c>
      <c r="E116" s="10" t="s">
        <v>189</v>
      </c>
      <c r="F116" s="10">
        <v>33.419823999999998</v>
      </c>
      <c r="G116" s="10">
        <v>43.234814999999998</v>
      </c>
      <c r="H116" s="11">
        <v>698</v>
      </c>
      <c r="I116" s="11">
        <v>4188</v>
      </c>
      <c r="J116" s="11">
        <v>423</v>
      </c>
      <c r="K116" s="11">
        <v>98</v>
      </c>
      <c r="L116" s="11"/>
      <c r="M116" s="11"/>
      <c r="N116" s="11"/>
      <c r="O116" s="11"/>
      <c r="P116" s="11">
        <v>79</v>
      </c>
      <c r="Q116" s="11"/>
      <c r="R116" s="11">
        <v>98</v>
      </c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>
        <v>698</v>
      </c>
      <c r="AD116" s="11"/>
      <c r="AE116" s="11"/>
      <c r="AF116" s="11"/>
      <c r="AG116" s="11"/>
      <c r="AH116" s="11"/>
      <c r="AI116" s="11"/>
      <c r="AJ116" s="11"/>
      <c r="AK116" s="11"/>
      <c r="AL116" s="11"/>
      <c r="AM116" s="11">
        <v>107</v>
      </c>
      <c r="AN116" s="11"/>
      <c r="AO116" s="11"/>
      <c r="AP116" s="11">
        <v>262</v>
      </c>
      <c r="AQ116" s="11">
        <v>329</v>
      </c>
      <c r="AR116" s="11"/>
      <c r="AS116" s="11"/>
      <c r="AT116" s="20" t="str">
        <f>HYPERLINK("http://www.openstreetmap.org/?mlat=33.4198&amp;mlon=43.2348&amp;zoom=12#map=12/33.4198/43.2348","Maplink1")</f>
        <v>Maplink1</v>
      </c>
      <c r="AU116" s="20" t="str">
        <f>HYPERLINK("https://www.google.iq/maps/search/+33.4198,43.2348/@33.4198,43.2348,14z?hl=en","Maplink2")</f>
        <v>Maplink2</v>
      </c>
      <c r="AV116" s="20" t="str">
        <f>HYPERLINK("http://www.bing.com/maps/?lvl=14&amp;sty=h&amp;cp=33.4198~43.2348&amp;sp=point.33.4198_43.2348","Maplink3")</f>
        <v>Maplink3</v>
      </c>
    </row>
    <row r="117" spans="1:48" x14ac:dyDescent="0.25">
      <c r="A117" s="9">
        <v>182</v>
      </c>
      <c r="B117" s="10" t="s">
        <v>8</v>
      </c>
      <c r="C117" s="10" t="s">
        <v>188</v>
      </c>
      <c r="D117" s="10" t="s">
        <v>1257</v>
      </c>
      <c r="E117" s="10" t="s">
        <v>252</v>
      </c>
      <c r="F117" s="10">
        <v>33.410055999999997</v>
      </c>
      <c r="G117" s="10">
        <v>43.284066000000003</v>
      </c>
      <c r="H117" s="11">
        <v>1018</v>
      </c>
      <c r="I117" s="11">
        <v>6108</v>
      </c>
      <c r="J117" s="11">
        <v>490</v>
      </c>
      <c r="K117" s="11"/>
      <c r="L117" s="11">
        <v>167</v>
      </c>
      <c r="M117" s="11"/>
      <c r="N117" s="11"/>
      <c r="O117" s="11"/>
      <c r="P117" s="11">
        <v>261</v>
      </c>
      <c r="Q117" s="11"/>
      <c r="R117" s="11">
        <v>100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>
        <v>1018</v>
      </c>
      <c r="AD117" s="11"/>
      <c r="AE117" s="11"/>
      <c r="AF117" s="11"/>
      <c r="AG117" s="11"/>
      <c r="AH117" s="11"/>
      <c r="AI117" s="11"/>
      <c r="AJ117" s="11"/>
      <c r="AK117" s="11"/>
      <c r="AL117" s="11"/>
      <c r="AM117" s="11">
        <v>729</v>
      </c>
      <c r="AN117" s="11"/>
      <c r="AO117" s="11"/>
      <c r="AP117" s="11"/>
      <c r="AQ117" s="11">
        <v>289</v>
      </c>
      <c r="AR117" s="11"/>
      <c r="AS117" s="11"/>
      <c r="AT117" s="20" t="str">
        <f>HYPERLINK("http://www.openstreetmap.org/?mlat=33.4101&amp;mlon=43.2841&amp;zoom=12#map=12/33.4101/43.2841","Maplink1")</f>
        <v>Maplink1</v>
      </c>
      <c r="AU117" s="20" t="str">
        <f>HYPERLINK("https://www.google.iq/maps/search/+33.4101,43.2841/@33.4101,43.2841,14z?hl=en","Maplink2")</f>
        <v>Maplink2</v>
      </c>
      <c r="AV117" s="20" t="str">
        <f>HYPERLINK("http://www.bing.com/maps/?lvl=14&amp;sty=h&amp;cp=33.4101~43.2841&amp;sp=point.33.4101_43.2841","Maplink3")</f>
        <v>Maplink3</v>
      </c>
    </row>
    <row r="118" spans="1:48" x14ac:dyDescent="0.25">
      <c r="A118" s="9">
        <v>29476</v>
      </c>
      <c r="B118" s="10" t="s">
        <v>8</v>
      </c>
      <c r="C118" s="10" t="s">
        <v>188</v>
      </c>
      <c r="D118" s="10" t="s">
        <v>254</v>
      </c>
      <c r="E118" s="10" t="s">
        <v>255</v>
      </c>
      <c r="F118" s="10">
        <v>33.480502000000001</v>
      </c>
      <c r="G118" s="10">
        <v>43.165412000000003</v>
      </c>
      <c r="H118" s="11">
        <v>3698</v>
      </c>
      <c r="I118" s="11">
        <v>22188</v>
      </c>
      <c r="J118" s="11">
        <v>3518</v>
      </c>
      <c r="K118" s="11"/>
      <c r="L118" s="11"/>
      <c r="M118" s="11"/>
      <c r="N118" s="11"/>
      <c r="O118" s="11"/>
      <c r="P118" s="11"/>
      <c r="Q118" s="11"/>
      <c r="R118" s="11">
        <v>180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>
        <v>3698</v>
      </c>
      <c r="AD118" s="11"/>
      <c r="AE118" s="11"/>
      <c r="AF118" s="11"/>
      <c r="AG118" s="11"/>
      <c r="AH118" s="11"/>
      <c r="AI118" s="11"/>
      <c r="AJ118" s="11"/>
      <c r="AK118" s="11"/>
      <c r="AL118" s="11"/>
      <c r="AM118" s="11">
        <v>259</v>
      </c>
      <c r="AN118" s="11"/>
      <c r="AO118" s="11"/>
      <c r="AP118" s="11">
        <v>153</v>
      </c>
      <c r="AQ118" s="11">
        <v>172</v>
      </c>
      <c r="AR118" s="11">
        <v>3114</v>
      </c>
      <c r="AS118" s="11"/>
      <c r="AT118" s="20" t="str">
        <f>HYPERLINK("http://www.openstreetmap.org/?mlat=33.4805&amp;mlon=43.1654&amp;zoom=12#map=12/33.4805/43.1654","Maplink1")</f>
        <v>Maplink1</v>
      </c>
      <c r="AU118" s="20" t="str">
        <f>HYPERLINK("https://www.google.iq/maps/search/+33.4805,43.1654/@33.4805,43.1654,14z?hl=en","Maplink2")</f>
        <v>Maplink2</v>
      </c>
      <c r="AV118" s="20" t="str">
        <f>HYPERLINK("http://www.bing.com/maps/?lvl=14&amp;sty=h&amp;cp=33.4805~43.1654&amp;sp=point.33.4805_43.1654","Maplink3")</f>
        <v>Maplink3</v>
      </c>
    </row>
    <row r="119" spans="1:48" x14ac:dyDescent="0.25">
      <c r="A119" s="9">
        <v>184</v>
      </c>
      <c r="B119" s="10" t="s">
        <v>8</v>
      </c>
      <c r="C119" s="10" t="s">
        <v>188</v>
      </c>
      <c r="D119" s="10" t="s">
        <v>256</v>
      </c>
      <c r="E119" s="10" t="s">
        <v>257</v>
      </c>
      <c r="F119" s="10">
        <v>33.429524999999998</v>
      </c>
      <c r="G119" s="10">
        <v>43.277873</v>
      </c>
      <c r="H119" s="11">
        <v>1199</v>
      </c>
      <c r="I119" s="11">
        <v>7194</v>
      </c>
      <c r="J119" s="11">
        <v>814</v>
      </c>
      <c r="K119" s="11"/>
      <c r="L119" s="11">
        <v>105</v>
      </c>
      <c r="M119" s="11"/>
      <c r="N119" s="11"/>
      <c r="O119" s="11"/>
      <c r="P119" s="11">
        <v>280</v>
      </c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>
        <v>1199</v>
      </c>
      <c r="AD119" s="11"/>
      <c r="AE119" s="11"/>
      <c r="AF119" s="11"/>
      <c r="AG119" s="11"/>
      <c r="AH119" s="11"/>
      <c r="AI119" s="11"/>
      <c r="AJ119" s="11"/>
      <c r="AK119" s="11"/>
      <c r="AL119" s="11"/>
      <c r="AM119" s="11">
        <v>725</v>
      </c>
      <c r="AN119" s="11"/>
      <c r="AO119" s="11"/>
      <c r="AP119" s="11">
        <v>105</v>
      </c>
      <c r="AQ119" s="11">
        <v>280</v>
      </c>
      <c r="AR119" s="11">
        <v>89</v>
      </c>
      <c r="AS119" s="11"/>
      <c r="AT119" s="20" t="str">
        <f>HYPERLINK("http://www.openstreetmap.org/?mlat=33.4295&amp;mlon=43.2779&amp;zoom=12#map=12/33.4295/43.2779","Maplink1")</f>
        <v>Maplink1</v>
      </c>
      <c r="AU119" s="20" t="str">
        <f>HYPERLINK("https://www.google.iq/maps/search/+33.4295,43.2779/@33.4295,43.2779,14z?hl=en","Maplink2")</f>
        <v>Maplink2</v>
      </c>
      <c r="AV119" s="20" t="str">
        <f>HYPERLINK("http://www.bing.com/maps/?lvl=14&amp;sty=h&amp;cp=33.4295~43.2779&amp;sp=point.33.4295_43.2779","Maplink3")</f>
        <v>Maplink3</v>
      </c>
    </row>
    <row r="120" spans="1:48" x14ac:dyDescent="0.25">
      <c r="A120" s="9">
        <v>29475</v>
      </c>
      <c r="B120" s="10" t="s">
        <v>8</v>
      </c>
      <c r="C120" s="10" t="s">
        <v>188</v>
      </c>
      <c r="D120" s="10" t="s">
        <v>258</v>
      </c>
      <c r="E120" s="10" t="s">
        <v>259</v>
      </c>
      <c r="F120" s="10">
        <v>33.468018000000001</v>
      </c>
      <c r="G120" s="10">
        <v>43.175849999999997</v>
      </c>
      <c r="H120" s="11">
        <v>5380</v>
      </c>
      <c r="I120" s="11">
        <v>32280</v>
      </c>
      <c r="J120" s="11">
        <v>4902</v>
      </c>
      <c r="K120" s="11"/>
      <c r="L120" s="11"/>
      <c r="M120" s="11"/>
      <c r="N120" s="11"/>
      <c r="O120" s="11"/>
      <c r="P120" s="11"/>
      <c r="Q120" s="11"/>
      <c r="R120" s="11">
        <v>228</v>
      </c>
      <c r="S120" s="11"/>
      <c r="T120" s="11"/>
      <c r="U120" s="11"/>
      <c r="V120" s="11"/>
      <c r="W120" s="11"/>
      <c r="X120" s="11"/>
      <c r="Y120" s="11">
        <v>250</v>
      </c>
      <c r="Z120" s="11"/>
      <c r="AA120" s="11"/>
      <c r="AB120" s="11"/>
      <c r="AC120" s="11">
        <v>5380</v>
      </c>
      <c r="AD120" s="11"/>
      <c r="AE120" s="11"/>
      <c r="AF120" s="11"/>
      <c r="AG120" s="11"/>
      <c r="AH120" s="11"/>
      <c r="AI120" s="11"/>
      <c r="AJ120" s="11"/>
      <c r="AK120" s="11"/>
      <c r="AL120" s="11"/>
      <c r="AM120" s="11">
        <v>344</v>
      </c>
      <c r="AN120" s="11"/>
      <c r="AO120" s="11"/>
      <c r="AP120" s="11">
        <v>228</v>
      </c>
      <c r="AQ120" s="11">
        <v>438</v>
      </c>
      <c r="AR120" s="11">
        <v>4370</v>
      </c>
      <c r="AS120" s="11"/>
      <c r="AT120" s="20" t="str">
        <f>HYPERLINK("http://www.openstreetmap.org/?mlat=33.468&amp;mlon=43.1758&amp;zoom=12#map=12/33.468/43.1758","Maplink1")</f>
        <v>Maplink1</v>
      </c>
      <c r="AU120" s="20" t="str">
        <f>HYPERLINK("https://www.google.iq/maps/search/+33.468,43.1758/@33.468,43.1758,14z?hl=en","Maplink2")</f>
        <v>Maplink2</v>
      </c>
      <c r="AV120" s="20" t="str">
        <f>HYPERLINK("http://www.bing.com/maps/?lvl=14&amp;sty=h&amp;cp=33.468~43.1758&amp;sp=point.33.468_43.1758","Maplink3")</f>
        <v>Maplink3</v>
      </c>
    </row>
    <row r="121" spans="1:48" x14ac:dyDescent="0.25">
      <c r="A121" s="9">
        <v>23856</v>
      </c>
      <c r="B121" s="10" t="s">
        <v>8</v>
      </c>
      <c r="C121" s="10" t="s">
        <v>188</v>
      </c>
      <c r="D121" s="10" t="s">
        <v>1147</v>
      </c>
      <c r="E121" s="10" t="s">
        <v>260</v>
      </c>
      <c r="F121" s="10">
        <v>33.393008000000002</v>
      </c>
      <c r="G121" s="10">
        <v>43.560879</v>
      </c>
      <c r="H121" s="11">
        <v>300</v>
      </c>
      <c r="I121" s="11">
        <v>1800</v>
      </c>
      <c r="J121" s="11">
        <v>300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>
        <v>300</v>
      </c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>
        <v>250</v>
      </c>
      <c r="AR121" s="11">
        <v>50</v>
      </c>
      <c r="AS121" s="11"/>
      <c r="AT121" s="20" t="str">
        <f>HYPERLINK("http://www.openstreetmap.org/?mlat=33.393&amp;mlon=43.5609&amp;zoom=12#map=12/33.393/43.5609","Maplink1")</f>
        <v>Maplink1</v>
      </c>
      <c r="AU121" s="20" t="str">
        <f>HYPERLINK("https://www.google.iq/maps/search/+33.393,43.5609/@33.393,43.5609,14z?hl=en","Maplink2")</f>
        <v>Maplink2</v>
      </c>
      <c r="AV121" s="20" t="str">
        <f>HYPERLINK("http://www.bing.com/maps/?lvl=14&amp;sty=h&amp;cp=33.393~43.5609&amp;sp=point.33.393_43.5609","Maplink3")</f>
        <v>Maplink3</v>
      </c>
    </row>
    <row r="122" spans="1:48" x14ac:dyDescent="0.25">
      <c r="A122" s="9">
        <v>29494</v>
      </c>
      <c r="B122" s="10" t="s">
        <v>10</v>
      </c>
      <c r="C122" s="10" t="s">
        <v>261</v>
      </c>
      <c r="D122" s="10" t="s">
        <v>262</v>
      </c>
      <c r="E122" s="10" t="s">
        <v>263</v>
      </c>
      <c r="F122" s="10">
        <v>33.369900000000001</v>
      </c>
      <c r="G122" s="10">
        <v>44.042200000000001</v>
      </c>
      <c r="H122" s="11">
        <v>28</v>
      </c>
      <c r="I122" s="11">
        <v>168</v>
      </c>
      <c r="J122" s="11"/>
      <c r="K122" s="11"/>
      <c r="L122" s="11">
        <v>28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>
        <v>28</v>
      </c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>
        <v>28</v>
      </c>
      <c r="AP122" s="11"/>
      <c r="AQ122" s="11"/>
      <c r="AR122" s="11"/>
      <c r="AS122" s="11"/>
      <c r="AT122" s="20" t="str">
        <f>HYPERLINK("http://www.openstreetmap.org/?mlat=33.3699&amp;mlon=44.0422&amp;zoom=12#map=12/33.3699/44.0422","Maplink1")</f>
        <v>Maplink1</v>
      </c>
      <c r="AU122" s="20" t="str">
        <f>HYPERLINK("https://www.google.iq/maps/search/+33.3699,44.0422/@33.3699,44.0422,14z?hl=en","Maplink2")</f>
        <v>Maplink2</v>
      </c>
      <c r="AV122" s="20" t="str">
        <f>HYPERLINK("http://www.bing.com/maps/?lvl=14&amp;sty=h&amp;cp=33.3699~44.0422&amp;sp=point.33.3699_44.0422","Maplink3")</f>
        <v>Maplink3</v>
      </c>
    </row>
    <row r="123" spans="1:48" x14ac:dyDescent="0.25">
      <c r="A123" s="9">
        <v>29497</v>
      </c>
      <c r="B123" s="10" t="s">
        <v>10</v>
      </c>
      <c r="C123" s="10" t="s">
        <v>261</v>
      </c>
      <c r="D123" s="10" t="s">
        <v>264</v>
      </c>
      <c r="E123" s="10" t="s">
        <v>265</v>
      </c>
      <c r="F123" s="10">
        <v>33.392510000000001</v>
      </c>
      <c r="G123" s="10">
        <v>44.041370000000001</v>
      </c>
      <c r="H123" s="11">
        <v>39</v>
      </c>
      <c r="I123" s="11">
        <v>234</v>
      </c>
      <c r="J123" s="11"/>
      <c r="K123" s="11"/>
      <c r="L123" s="11">
        <v>39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>
        <v>39</v>
      </c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>
        <v>39</v>
      </c>
      <c r="AQ123" s="11"/>
      <c r="AR123" s="11"/>
      <c r="AS123" s="11"/>
      <c r="AT123" s="20" t="str">
        <f>HYPERLINK("http://www.openstreetmap.org/?mlat=33.3925&amp;mlon=44.0414&amp;zoom=12#map=12/33.3925/44.0414","Maplink1")</f>
        <v>Maplink1</v>
      </c>
      <c r="AU123" s="20" t="str">
        <f>HYPERLINK("https://www.google.iq/maps/search/+33.3925,44.0414/@33.3925,44.0414,14z?hl=en","Maplink2")</f>
        <v>Maplink2</v>
      </c>
      <c r="AV123" s="20" t="str">
        <f>HYPERLINK("http://www.bing.com/maps/?lvl=14&amp;sty=h&amp;cp=33.3925~44.0414&amp;sp=point.33.3925_44.0414","Maplink3")</f>
        <v>Maplink3</v>
      </c>
    </row>
    <row r="124" spans="1:48" x14ac:dyDescent="0.25">
      <c r="A124" s="9">
        <v>29531</v>
      </c>
      <c r="B124" s="10" t="s">
        <v>10</v>
      </c>
      <c r="C124" s="10" t="s">
        <v>261</v>
      </c>
      <c r="D124" s="10" t="s">
        <v>266</v>
      </c>
      <c r="E124" s="10" t="s">
        <v>267</v>
      </c>
      <c r="F124" s="10">
        <v>33.345509999999997</v>
      </c>
      <c r="G124" s="10">
        <v>44.109369999999998</v>
      </c>
      <c r="H124" s="11">
        <v>76</v>
      </c>
      <c r="I124" s="11">
        <v>456</v>
      </c>
      <c r="J124" s="11"/>
      <c r="K124" s="11"/>
      <c r="L124" s="11">
        <v>76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>
        <v>76</v>
      </c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>
        <v>33</v>
      </c>
      <c r="AP124" s="11">
        <v>43</v>
      </c>
      <c r="AQ124" s="11"/>
      <c r="AR124" s="11"/>
      <c r="AS124" s="11"/>
      <c r="AT124" s="20" t="str">
        <f>HYPERLINK("http://www.openstreetmap.org/?mlat=33.3455&amp;mlon=44.1094&amp;zoom=12#map=12/33.3455/44.1094","Maplink1")</f>
        <v>Maplink1</v>
      </c>
      <c r="AU124" s="20" t="str">
        <f>HYPERLINK("https://www.google.iq/maps/search/+33.3455,44.1094/@33.3455,44.1094,14z?hl=en","Maplink2")</f>
        <v>Maplink2</v>
      </c>
      <c r="AV124" s="20" t="str">
        <f>HYPERLINK("http://www.bing.com/maps/?lvl=14&amp;sty=h&amp;cp=33.3455~44.1094&amp;sp=point.33.3455_44.1094","Maplink3")</f>
        <v>Maplink3</v>
      </c>
    </row>
    <row r="125" spans="1:48" x14ac:dyDescent="0.25">
      <c r="A125" s="9">
        <v>29498</v>
      </c>
      <c r="B125" s="10" t="s">
        <v>10</v>
      </c>
      <c r="C125" s="10" t="s">
        <v>261</v>
      </c>
      <c r="D125" s="10" t="s">
        <v>268</v>
      </c>
      <c r="E125" s="10" t="s">
        <v>269</v>
      </c>
      <c r="F125" s="10">
        <v>33.368130000000001</v>
      </c>
      <c r="G125" s="10">
        <v>44.012509999999999</v>
      </c>
      <c r="H125" s="11">
        <v>25</v>
      </c>
      <c r="I125" s="11">
        <v>150</v>
      </c>
      <c r="J125" s="11"/>
      <c r="K125" s="11"/>
      <c r="L125" s="11">
        <v>25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>
        <v>25</v>
      </c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>
        <v>25</v>
      </c>
      <c r="AQ125" s="11"/>
      <c r="AR125" s="11"/>
      <c r="AS125" s="11"/>
      <c r="AT125" s="20" t="str">
        <f>HYPERLINK("http://www.openstreetmap.org/?mlat=33.3681&amp;mlon=44.0125&amp;zoom=12#map=12/33.3681/44.0125","Maplink1")</f>
        <v>Maplink1</v>
      </c>
      <c r="AU125" s="20" t="str">
        <f>HYPERLINK("https://www.google.iq/maps/search/+33.3681,44.0125/@33.3681,44.0125,14z?hl=en","Maplink2")</f>
        <v>Maplink2</v>
      </c>
      <c r="AV125" s="20" t="str">
        <f>HYPERLINK("http://www.bing.com/maps/?lvl=14&amp;sty=h&amp;cp=33.3681~44.0125&amp;sp=point.33.3681_44.0125","Maplink3")</f>
        <v>Maplink3</v>
      </c>
    </row>
    <row r="126" spans="1:48" x14ac:dyDescent="0.25">
      <c r="A126" s="9">
        <v>29495</v>
      </c>
      <c r="B126" s="10" t="s">
        <v>10</v>
      </c>
      <c r="C126" s="10" t="s">
        <v>261</v>
      </c>
      <c r="D126" s="10" t="s">
        <v>270</v>
      </c>
      <c r="E126" s="10" t="s">
        <v>271</v>
      </c>
      <c r="F126" s="10">
        <v>33.413400000000003</v>
      </c>
      <c r="G126" s="10">
        <v>44.060600000000001</v>
      </c>
      <c r="H126" s="11">
        <v>37</v>
      </c>
      <c r="I126" s="11">
        <v>222</v>
      </c>
      <c r="J126" s="11"/>
      <c r="K126" s="11"/>
      <c r="L126" s="11">
        <v>37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>
        <v>37</v>
      </c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>
        <v>37</v>
      </c>
      <c r="AP126" s="11"/>
      <c r="AQ126" s="11"/>
      <c r="AR126" s="11"/>
      <c r="AS126" s="11"/>
      <c r="AT126" s="20" t="str">
        <f>HYPERLINK("http://www.openstreetmap.org/?mlat=33.4134&amp;mlon=44.0606&amp;zoom=12#map=12/33.4134/44.0606","Maplink1")</f>
        <v>Maplink1</v>
      </c>
      <c r="AU126" s="20" t="str">
        <f>HYPERLINK("https://www.google.iq/maps/search/+33.4134,44.0606/@33.4134,44.0606,14z?hl=en","Maplink2")</f>
        <v>Maplink2</v>
      </c>
      <c r="AV126" s="20" t="str">
        <f>HYPERLINK("http://www.bing.com/maps/?lvl=14&amp;sty=h&amp;cp=33.4134~44.0606&amp;sp=point.33.4134_44.0606","Maplink3")</f>
        <v>Maplink3</v>
      </c>
    </row>
    <row r="127" spans="1:48" x14ac:dyDescent="0.25">
      <c r="A127" s="9">
        <v>29529</v>
      </c>
      <c r="B127" s="10" t="s">
        <v>10</v>
      </c>
      <c r="C127" s="10" t="s">
        <v>261</v>
      </c>
      <c r="D127" s="10" t="s">
        <v>272</v>
      </c>
      <c r="E127" s="10" t="s">
        <v>273</v>
      </c>
      <c r="F127" s="10">
        <v>33.255400000000002</v>
      </c>
      <c r="G127" s="10">
        <v>43.861899999999999</v>
      </c>
      <c r="H127" s="11">
        <v>400</v>
      </c>
      <c r="I127" s="11">
        <v>2400</v>
      </c>
      <c r="J127" s="11"/>
      <c r="K127" s="11"/>
      <c r="L127" s="11">
        <v>400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>
        <v>400</v>
      </c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>
        <v>400</v>
      </c>
      <c r="AQ127" s="11"/>
      <c r="AR127" s="11"/>
      <c r="AS127" s="11"/>
      <c r="AT127" s="20" t="str">
        <f>HYPERLINK("http://www.openstreetmap.org/?mlat=33.2554&amp;mlon=43.8619&amp;zoom=12#map=12/33.2554/43.8619","Maplink1")</f>
        <v>Maplink1</v>
      </c>
      <c r="AU127" s="20" t="str">
        <f>HYPERLINK("https://www.google.iq/maps/search/+33.2554,43.8619/@33.2554,43.8619,14z?hl=en","Maplink2")</f>
        <v>Maplink2</v>
      </c>
      <c r="AV127" s="20" t="str">
        <f>HYPERLINK("http://www.bing.com/maps/?lvl=14&amp;sty=h&amp;cp=33.2554~43.8619&amp;sp=point.33.2554_43.8619","Maplink3")</f>
        <v>Maplink3</v>
      </c>
    </row>
    <row r="128" spans="1:48" x14ac:dyDescent="0.25">
      <c r="A128" s="9">
        <v>29532</v>
      </c>
      <c r="B128" s="10" t="s">
        <v>10</v>
      </c>
      <c r="C128" s="10" t="s">
        <v>261</v>
      </c>
      <c r="D128" s="10" t="s">
        <v>274</v>
      </c>
      <c r="E128" s="10" t="s">
        <v>275</v>
      </c>
      <c r="F128" s="10">
        <v>33.241030000000002</v>
      </c>
      <c r="G128" s="10">
        <v>43.849510000000002</v>
      </c>
      <c r="H128" s="11">
        <v>109</v>
      </c>
      <c r="I128" s="11">
        <v>654</v>
      </c>
      <c r="J128" s="11"/>
      <c r="K128" s="11"/>
      <c r="L128" s="11">
        <v>109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>
        <v>109</v>
      </c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>
        <v>109</v>
      </c>
      <c r="AP128" s="11"/>
      <c r="AQ128" s="11"/>
      <c r="AR128" s="11"/>
      <c r="AS128" s="11"/>
      <c r="AT128" s="20" t="str">
        <f>HYPERLINK("http://www.openstreetmap.org/?mlat=33.241&amp;mlon=43.8495&amp;zoom=12#map=12/33.241/43.8495","Maplink1")</f>
        <v>Maplink1</v>
      </c>
      <c r="AU128" s="20" t="str">
        <f>HYPERLINK("https://www.google.iq/maps/search/+33.241,43.8495/@33.241,43.8495,14z?hl=en","Maplink2")</f>
        <v>Maplink2</v>
      </c>
      <c r="AV128" s="20" t="str">
        <f>HYPERLINK("http://www.bing.com/maps/?lvl=14&amp;sty=h&amp;cp=33.241~43.8495&amp;sp=point.33.241_43.8495","Maplink3")</f>
        <v>Maplink3</v>
      </c>
    </row>
    <row r="129" spans="1:48" x14ac:dyDescent="0.25">
      <c r="A129" s="9">
        <v>29533</v>
      </c>
      <c r="B129" s="10" t="s">
        <v>10</v>
      </c>
      <c r="C129" s="10" t="s">
        <v>261</v>
      </c>
      <c r="D129" s="10" t="s">
        <v>276</v>
      </c>
      <c r="E129" s="10" t="s">
        <v>277</v>
      </c>
      <c r="F129" s="10">
        <v>33.249899999999997</v>
      </c>
      <c r="G129" s="10">
        <v>43.867690000000003</v>
      </c>
      <c r="H129" s="11">
        <v>320</v>
      </c>
      <c r="I129" s="11">
        <v>1920</v>
      </c>
      <c r="J129" s="11"/>
      <c r="K129" s="11"/>
      <c r="L129" s="11">
        <v>220</v>
      </c>
      <c r="M129" s="11"/>
      <c r="N129" s="11"/>
      <c r="O129" s="11"/>
      <c r="P129" s="11">
        <v>100</v>
      </c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>
        <v>320</v>
      </c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>
        <v>271</v>
      </c>
      <c r="AP129" s="11">
        <v>49</v>
      </c>
      <c r="AQ129" s="11"/>
      <c r="AR129" s="11"/>
      <c r="AS129" s="11"/>
      <c r="AT129" s="20" t="str">
        <f>HYPERLINK("http://www.openstreetmap.org/?mlat=33.2499&amp;mlon=43.8677&amp;zoom=12#map=12/33.2499/43.8677","Maplink1")</f>
        <v>Maplink1</v>
      </c>
      <c r="AU129" s="20" t="str">
        <f>HYPERLINK("https://www.google.iq/maps/search/+33.2499,43.8677/@33.2499,43.8677,14z?hl=en","Maplink2")</f>
        <v>Maplink2</v>
      </c>
      <c r="AV129" s="20" t="str">
        <f>HYPERLINK("http://www.bing.com/maps/?lvl=14&amp;sty=h&amp;cp=33.2499~43.8677&amp;sp=point.33.2499_43.8677","Maplink3")</f>
        <v>Maplink3</v>
      </c>
    </row>
    <row r="130" spans="1:48" x14ac:dyDescent="0.25">
      <c r="A130" s="9">
        <v>29496</v>
      </c>
      <c r="B130" s="10" t="s">
        <v>10</v>
      </c>
      <c r="C130" s="10" t="s">
        <v>261</v>
      </c>
      <c r="D130" s="10" t="s">
        <v>278</v>
      </c>
      <c r="E130" s="10" t="s">
        <v>279</v>
      </c>
      <c r="F130" s="10">
        <v>33.361089999999997</v>
      </c>
      <c r="G130" s="10">
        <v>43.998289999999997</v>
      </c>
      <c r="H130" s="11">
        <v>41</v>
      </c>
      <c r="I130" s="11">
        <v>246</v>
      </c>
      <c r="J130" s="11"/>
      <c r="K130" s="11"/>
      <c r="L130" s="11">
        <v>41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>
        <v>41</v>
      </c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>
        <v>41</v>
      </c>
      <c r="AQ130" s="11"/>
      <c r="AR130" s="11"/>
      <c r="AS130" s="11"/>
      <c r="AT130" s="20" t="str">
        <f>HYPERLINK("http://www.openstreetmap.org/?mlat=33.3611&amp;mlon=43.9983&amp;zoom=12#map=12/33.3611/43.9983","Maplink1")</f>
        <v>Maplink1</v>
      </c>
      <c r="AU130" s="20" t="str">
        <f>HYPERLINK("https://www.google.iq/maps/search/+33.3611,43.9983/@33.3611,43.9983,14z?hl=en","Maplink2")</f>
        <v>Maplink2</v>
      </c>
      <c r="AV130" s="20" t="str">
        <f>HYPERLINK("http://www.bing.com/maps/?lvl=14&amp;sty=h&amp;cp=33.3611~43.9983&amp;sp=point.33.3611_43.9983","Maplink3")</f>
        <v>Maplink3</v>
      </c>
    </row>
    <row r="131" spans="1:48" x14ac:dyDescent="0.25">
      <c r="A131" s="9">
        <v>29499</v>
      </c>
      <c r="B131" s="10" t="s">
        <v>10</v>
      </c>
      <c r="C131" s="10" t="s">
        <v>261</v>
      </c>
      <c r="D131" s="10" t="s">
        <v>280</v>
      </c>
      <c r="E131" s="10" t="s">
        <v>281</v>
      </c>
      <c r="F131" s="10">
        <v>33.361199999999997</v>
      </c>
      <c r="G131" s="10">
        <v>43.993299999999998</v>
      </c>
      <c r="H131" s="11">
        <v>71</v>
      </c>
      <c r="I131" s="11">
        <v>426</v>
      </c>
      <c r="J131" s="11"/>
      <c r="K131" s="11"/>
      <c r="L131" s="11">
        <v>52</v>
      </c>
      <c r="M131" s="11"/>
      <c r="N131" s="11"/>
      <c r="O131" s="11"/>
      <c r="P131" s="11">
        <v>19</v>
      </c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>
        <v>71</v>
      </c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>
        <v>50</v>
      </c>
      <c r="AP131" s="11">
        <v>21</v>
      </c>
      <c r="AQ131" s="11"/>
      <c r="AR131" s="11"/>
      <c r="AS131" s="11"/>
      <c r="AT131" s="20" t="str">
        <f>HYPERLINK("http://www.openstreetmap.org/?mlat=33.3612&amp;mlon=43.9933&amp;zoom=12#map=12/33.3612/43.9933","Maplink1")</f>
        <v>Maplink1</v>
      </c>
      <c r="AU131" s="20" t="str">
        <f>HYPERLINK("https://www.google.iq/maps/search/+33.3612,43.9933/@33.3612,43.9933,14z?hl=en","Maplink2")</f>
        <v>Maplink2</v>
      </c>
      <c r="AV131" s="20" t="str">
        <f>HYPERLINK("http://www.bing.com/maps/?lvl=14&amp;sty=h&amp;cp=33.3612~43.9933&amp;sp=point.33.3612_43.9933","Maplink3")</f>
        <v>Maplink3</v>
      </c>
    </row>
    <row r="132" spans="1:48" x14ac:dyDescent="0.25">
      <c r="A132" s="9">
        <v>29530</v>
      </c>
      <c r="B132" s="10" t="s">
        <v>10</v>
      </c>
      <c r="C132" s="10" t="s">
        <v>261</v>
      </c>
      <c r="D132" s="10" t="s">
        <v>282</v>
      </c>
      <c r="E132" s="10" t="s">
        <v>283</v>
      </c>
      <c r="F132" s="10">
        <v>33.258200000000002</v>
      </c>
      <c r="G132" s="10">
        <v>43.8566</v>
      </c>
      <c r="H132" s="11">
        <v>132</v>
      </c>
      <c r="I132" s="11">
        <v>792</v>
      </c>
      <c r="J132" s="11"/>
      <c r="K132" s="11"/>
      <c r="L132" s="11">
        <v>132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>
        <v>132</v>
      </c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>
        <v>42</v>
      </c>
      <c r="AP132" s="11">
        <v>90</v>
      </c>
      <c r="AQ132" s="11"/>
      <c r="AR132" s="11"/>
      <c r="AS132" s="11"/>
      <c r="AT132" s="20" t="str">
        <f>HYPERLINK("http://www.openstreetmap.org/?mlat=33.2582&amp;mlon=43.8566&amp;zoom=12#map=12/33.2582/43.8566","Maplink1")</f>
        <v>Maplink1</v>
      </c>
      <c r="AU132" s="20" t="str">
        <f>HYPERLINK("https://www.google.iq/maps/search/+33.2582,43.8566/@33.2582,43.8566,14z?hl=en","Maplink2")</f>
        <v>Maplink2</v>
      </c>
      <c r="AV132" s="20" t="str">
        <f>HYPERLINK("http://www.bing.com/maps/?lvl=14&amp;sty=h&amp;cp=33.2582~43.8566&amp;sp=point.33.2582_43.8566","Maplink3")</f>
        <v>Maplink3</v>
      </c>
    </row>
    <row r="133" spans="1:48" x14ac:dyDescent="0.25">
      <c r="A133" s="9">
        <v>25167</v>
      </c>
      <c r="B133" s="10" t="s">
        <v>10</v>
      </c>
      <c r="C133" s="10" t="s">
        <v>284</v>
      </c>
      <c r="D133" s="10" t="s">
        <v>285</v>
      </c>
      <c r="E133" s="10" t="s">
        <v>286</v>
      </c>
      <c r="F133" s="10">
        <v>33.464363990000003</v>
      </c>
      <c r="G133" s="10">
        <v>44.167395319999997</v>
      </c>
      <c r="H133" s="11">
        <v>130</v>
      </c>
      <c r="I133" s="11">
        <v>780</v>
      </c>
      <c r="J133" s="11"/>
      <c r="K133" s="11"/>
      <c r="L133" s="11">
        <v>130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>
        <v>130</v>
      </c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>
        <v>130</v>
      </c>
      <c r="AQ133" s="11"/>
      <c r="AR133" s="11"/>
      <c r="AS133" s="11"/>
      <c r="AT133" s="20" t="str">
        <f>HYPERLINK("http://www.openstreetmap.org/?mlat=33.4644&amp;mlon=44.1674&amp;zoom=12#map=12/33.4644/44.1674","Maplink1")</f>
        <v>Maplink1</v>
      </c>
      <c r="AU133" s="20" t="str">
        <f>HYPERLINK("https://www.google.iq/maps/search/+33.4644,44.1674/@33.4644,44.1674,14z?hl=en","Maplink2")</f>
        <v>Maplink2</v>
      </c>
      <c r="AV133" s="20" t="str">
        <f>HYPERLINK("http://www.bing.com/maps/?lvl=14&amp;sty=h&amp;cp=33.4644~44.1674&amp;sp=point.33.4644_44.1674","Maplink3")</f>
        <v>Maplink3</v>
      </c>
    </row>
    <row r="134" spans="1:48" x14ac:dyDescent="0.25">
      <c r="A134" s="9">
        <v>22541</v>
      </c>
      <c r="B134" s="10" t="s">
        <v>10</v>
      </c>
      <c r="C134" s="10" t="s">
        <v>284</v>
      </c>
      <c r="D134" s="10" t="s">
        <v>287</v>
      </c>
      <c r="E134" s="10" t="s">
        <v>288</v>
      </c>
      <c r="F134" s="10">
        <v>33.474299999999999</v>
      </c>
      <c r="G134" s="10">
        <v>44.241799999999998</v>
      </c>
      <c r="H134" s="11">
        <v>180</v>
      </c>
      <c r="I134" s="11">
        <v>1080</v>
      </c>
      <c r="J134" s="11"/>
      <c r="K134" s="11">
        <v>22</v>
      </c>
      <c r="L134" s="11">
        <v>158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>
        <v>180</v>
      </c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>
        <v>180</v>
      </c>
      <c r="AQ134" s="11"/>
      <c r="AR134" s="11"/>
      <c r="AS134" s="11"/>
      <c r="AT134" s="20" t="str">
        <f>HYPERLINK("http://www.openstreetmap.org/?mlat=33.4743&amp;mlon=44.2418&amp;zoom=12#map=12/33.4743/44.2418","Maplink1")</f>
        <v>Maplink1</v>
      </c>
      <c r="AU134" s="20" t="str">
        <f>HYPERLINK("https://www.google.iq/maps/search/+33.4743,44.2418/@33.4743,44.2418,14z?hl=en","Maplink2")</f>
        <v>Maplink2</v>
      </c>
      <c r="AV134" s="20" t="str">
        <f>HYPERLINK("http://www.bing.com/maps/?lvl=14&amp;sty=h&amp;cp=33.4743~44.2418&amp;sp=point.33.4743_44.2418","Maplink3")</f>
        <v>Maplink3</v>
      </c>
    </row>
    <row r="135" spans="1:48" x14ac:dyDescent="0.25">
      <c r="A135" s="9">
        <v>22611</v>
      </c>
      <c r="B135" s="10" t="s">
        <v>10</v>
      </c>
      <c r="C135" s="10" t="s">
        <v>284</v>
      </c>
      <c r="D135" s="10" t="s">
        <v>289</v>
      </c>
      <c r="E135" s="10" t="s">
        <v>290</v>
      </c>
      <c r="F135" s="10">
        <v>33.460302050000003</v>
      </c>
      <c r="G135" s="10">
        <v>44.166876889999998</v>
      </c>
      <c r="H135" s="11">
        <v>76</v>
      </c>
      <c r="I135" s="11">
        <v>456</v>
      </c>
      <c r="J135" s="11"/>
      <c r="K135" s="11"/>
      <c r="L135" s="11">
        <v>76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>
        <v>76</v>
      </c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>
        <v>76</v>
      </c>
      <c r="AQ135" s="11"/>
      <c r="AR135" s="11"/>
      <c r="AS135" s="11"/>
      <c r="AT135" s="20" t="str">
        <f>HYPERLINK("http://www.openstreetmap.org/?mlat=33.4603&amp;mlon=44.1669&amp;zoom=12#map=12/33.4603/44.1669","Maplink1")</f>
        <v>Maplink1</v>
      </c>
      <c r="AU135" s="20" t="str">
        <f>HYPERLINK("https://www.google.iq/maps/search/+33.4603,44.1669/@33.4603,44.1669,14z?hl=en","Maplink2")</f>
        <v>Maplink2</v>
      </c>
      <c r="AV135" s="20" t="str">
        <f>HYPERLINK("http://www.bing.com/maps/?lvl=14&amp;sty=h&amp;cp=33.4603~44.1669&amp;sp=point.33.4603_44.1669","Maplink3")</f>
        <v>Maplink3</v>
      </c>
    </row>
    <row r="136" spans="1:48" x14ac:dyDescent="0.25">
      <c r="A136" s="9">
        <v>25168</v>
      </c>
      <c r="B136" s="10" t="s">
        <v>10</v>
      </c>
      <c r="C136" s="10" t="s">
        <v>284</v>
      </c>
      <c r="D136" s="10" t="s">
        <v>291</v>
      </c>
      <c r="E136" s="10" t="s">
        <v>292</v>
      </c>
      <c r="F136" s="10">
        <v>33.466989300000002</v>
      </c>
      <c r="G136" s="10">
        <v>44.170490139999998</v>
      </c>
      <c r="H136" s="11">
        <v>311</v>
      </c>
      <c r="I136" s="11">
        <v>1866</v>
      </c>
      <c r="J136" s="11"/>
      <c r="K136" s="11"/>
      <c r="L136" s="11">
        <v>311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>
        <v>311</v>
      </c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>
        <v>311</v>
      </c>
      <c r="AP136" s="11"/>
      <c r="AQ136" s="11"/>
      <c r="AR136" s="11"/>
      <c r="AS136" s="11"/>
      <c r="AT136" s="20" t="str">
        <f>HYPERLINK("http://www.openstreetmap.org/?mlat=33.467&amp;mlon=44.1705&amp;zoom=12#map=12/33.467/44.1705","Maplink1")</f>
        <v>Maplink1</v>
      </c>
      <c r="AU136" s="20" t="str">
        <f>HYPERLINK("https://www.google.iq/maps/search/+33.467,44.1705/@33.467,44.1705,14z?hl=en","Maplink2")</f>
        <v>Maplink2</v>
      </c>
      <c r="AV136" s="20" t="str">
        <f>HYPERLINK("http://www.bing.com/maps/?lvl=14&amp;sty=h&amp;cp=33.467~44.1705&amp;sp=point.33.467_44.1705","Maplink3")</f>
        <v>Maplink3</v>
      </c>
    </row>
    <row r="137" spans="1:48" x14ac:dyDescent="0.25">
      <c r="A137" s="9">
        <v>25160</v>
      </c>
      <c r="B137" s="10" t="s">
        <v>10</v>
      </c>
      <c r="C137" s="10" t="s">
        <v>284</v>
      </c>
      <c r="D137" s="10" t="s">
        <v>293</v>
      </c>
      <c r="E137" s="10" t="s">
        <v>294</v>
      </c>
      <c r="F137" s="10">
        <v>33.491100000000003</v>
      </c>
      <c r="G137" s="10">
        <v>44.201700000000002</v>
      </c>
      <c r="H137" s="11">
        <v>50</v>
      </c>
      <c r="I137" s="11">
        <v>300</v>
      </c>
      <c r="J137" s="11"/>
      <c r="K137" s="11"/>
      <c r="L137" s="11">
        <v>50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>
        <v>50</v>
      </c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>
        <v>50</v>
      </c>
      <c r="AP137" s="11"/>
      <c r="AQ137" s="11"/>
      <c r="AR137" s="11"/>
      <c r="AS137" s="11"/>
      <c r="AT137" s="20" t="str">
        <f>HYPERLINK("http://www.openstreetmap.org/?mlat=33.4911&amp;mlon=44.2017&amp;zoom=12#map=12/33.4911/44.2017","Maplink1")</f>
        <v>Maplink1</v>
      </c>
      <c r="AU137" s="20" t="str">
        <f>HYPERLINK("https://www.google.iq/maps/search/+33.4911,44.2017/@33.4911,44.2017,14z?hl=en","Maplink2")</f>
        <v>Maplink2</v>
      </c>
      <c r="AV137" s="20" t="str">
        <f>HYPERLINK("http://www.bing.com/maps/?lvl=14&amp;sty=h&amp;cp=33.4911~44.2017&amp;sp=point.33.4911_44.2017","Maplink3")</f>
        <v>Maplink3</v>
      </c>
    </row>
    <row r="138" spans="1:48" x14ac:dyDescent="0.25">
      <c r="A138" s="9">
        <v>25161</v>
      </c>
      <c r="B138" s="10" t="s">
        <v>10</v>
      </c>
      <c r="C138" s="10" t="s">
        <v>284</v>
      </c>
      <c r="D138" s="10" t="s">
        <v>295</v>
      </c>
      <c r="E138" s="10" t="s">
        <v>296</v>
      </c>
      <c r="F138" s="10">
        <v>33.461047749999999</v>
      </c>
      <c r="G138" s="10">
        <v>44.143778349999998</v>
      </c>
      <c r="H138" s="11">
        <v>20</v>
      </c>
      <c r="I138" s="11">
        <v>120</v>
      </c>
      <c r="J138" s="11"/>
      <c r="K138" s="11"/>
      <c r="L138" s="11">
        <v>20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>
        <v>20</v>
      </c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>
        <v>20</v>
      </c>
      <c r="AQ138" s="11"/>
      <c r="AR138" s="11"/>
      <c r="AS138" s="11"/>
      <c r="AT138" s="20" t="str">
        <f>HYPERLINK("http://www.openstreetmap.org/?mlat=33.461&amp;mlon=44.1438&amp;zoom=12#map=12/33.461/44.1438","Maplink1")</f>
        <v>Maplink1</v>
      </c>
      <c r="AU138" s="20" t="str">
        <f>HYPERLINK("https://www.google.iq/maps/search/+33.461,44.1438/@33.461,44.1438,14z?hl=en","Maplink2")</f>
        <v>Maplink2</v>
      </c>
      <c r="AV138" s="20" t="str">
        <f>HYPERLINK("http://www.bing.com/maps/?lvl=14&amp;sty=h&amp;cp=33.461~44.1438&amp;sp=point.33.461_44.1438","Maplink3")</f>
        <v>Maplink3</v>
      </c>
    </row>
    <row r="139" spans="1:48" x14ac:dyDescent="0.25">
      <c r="A139" s="9">
        <v>23329</v>
      </c>
      <c r="B139" s="10" t="s">
        <v>10</v>
      </c>
      <c r="C139" s="10" t="s">
        <v>284</v>
      </c>
      <c r="D139" s="10" t="s">
        <v>297</v>
      </c>
      <c r="E139" s="10" t="s">
        <v>298</v>
      </c>
      <c r="F139" s="10">
        <v>33.471301658199998</v>
      </c>
      <c r="G139" s="10">
        <v>44.147623751399998</v>
      </c>
      <c r="H139" s="11">
        <v>56</v>
      </c>
      <c r="I139" s="11">
        <v>336</v>
      </c>
      <c r="J139" s="11"/>
      <c r="K139" s="11"/>
      <c r="L139" s="11">
        <v>56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>
        <v>56</v>
      </c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>
        <v>56</v>
      </c>
      <c r="AQ139" s="11"/>
      <c r="AR139" s="11"/>
      <c r="AS139" s="11"/>
      <c r="AT139" s="20" t="str">
        <f>HYPERLINK("http://www.openstreetmap.org/?mlat=33.4713&amp;mlon=44.1476&amp;zoom=12#map=12/33.4713/44.1476","Maplink1")</f>
        <v>Maplink1</v>
      </c>
      <c r="AU139" s="20" t="str">
        <f>HYPERLINK("https://www.google.iq/maps/search/+33.4713,44.1476/@33.4713,44.1476,14z?hl=en","Maplink2")</f>
        <v>Maplink2</v>
      </c>
      <c r="AV139" s="20" t="str">
        <f>HYPERLINK("http://www.bing.com/maps/?lvl=14&amp;sty=h&amp;cp=33.4713~44.1476&amp;sp=point.33.4713_44.1476","Maplink3")</f>
        <v>Maplink3</v>
      </c>
    </row>
    <row r="140" spans="1:48" x14ac:dyDescent="0.25">
      <c r="A140" s="9">
        <v>25163</v>
      </c>
      <c r="B140" s="10" t="s">
        <v>10</v>
      </c>
      <c r="C140" s="10" t="s">
        <v>284</v>
      </c>
      <c r="D140" s="10" t="s">
        <v>299</v>
      </c>
      <c r="E140" s="10" t="s">
        <v>300</v>
      </c>
      <c r="F140" s="10">
        <v>33.450786260000001</v>
      </c>
      <c r="G140" s="10">
        <v>44.150446760000001</v>
      </c>
      <c r="H140" s="11">
        <v>175</v>
      </c>
      <c r="I140" s="11">
        <v>1050</v>
      </c>
      <c r="J140" s="11"/>
      <c r="K140" s="11">
        <v>12</v>
      </c>
      <c r="L140" s="11">
        <v>155</v>
      </c>
      <c r="M140" s="11"/>
      <c r="N140" s="11"/>
      <c r="O140" s="11"/>
      <c r="P140" s="11"/>
      <c r="Q140" s="11">
        <v>8</v>
      </c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>
        <v>175</v>
      </c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>
        <v>175</v>
      </c>
      <c r="AP140" s="11"/>
      <c r="AQ140" s="11"/>
      <c r="AR140" s="11"/>
      <c r="AS140" s="11"/>
      <c r="AT140" s="20" t="str">
        <f>HYPERLINK("http://www.openstreetmap.org/?mlat=33.4508&amp;mlon=44.1504&amp;zoom=12#map=12/33.4508/44.1504","Maplink1")</f>
        <v>Maplink1</v>
      </c>
      <c r="AU140" s="20" t="str">
        <f>HYPERLINK("https://www.google.iq/maps/search/+33.4508,44.1504/@33.4508,44.1504,14z?hl=en","Maplink2")</f>
        <v>Maplink2</v>
      </c>
      <c r="AV140" s="20" t="str">
        <f>HYPERLINK("http://www.bing.com/maps/?lvl=14&amp;sty=h&amp;cp=33.4508~44.1504&amp;sp=point.33.4508_44.1504","Maplink3")</f>
        <v>Maplink3</v>
      </c>
    </row>
    <row r="141" spans="1:48" x14ac:dyDescent="0.25">
      <c r="A141" s="9">
        <v>25164</v>
      </c>
      <c r="B141" s="10" t="s">
        <v>10</v>
      </c>
      <c r="C141" s="10" t="s">
        <v>284</v>
      </c>
      <c r="D141" s="10" t="s">
        <v>301</v>
      </c>
      <c r="E141" s="10" t="s">
        <v>302</v>
      </c>
      <c r="F141" s="10">
        <v>33.468910000000001</v>
      </c>
      <c r="G141" s="10">
        <v>44.226880000000001</v>
      </c>
      <c r="H141" s="11">
        <v>238</v>
      </c>
      <c r="I141" s="11">
        <v>1428</v>
      </c>
      <c r="J141" s="11"/>
      <c r="K141" s="11"/>
      <c r="L141" s="11">
        <v>238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>
        <v>238</v>
      </c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>
        <v>238</v>
      </c>
      <c r="AP141" s="11"/>
      <c r="AQ141" s="11"/>
      <c r="AR141" s="11"/>
      <c r="AS141" s="11"/>
      <c r="AT141" s="20" t="str">
        <f>HYPERLINK("http://www.openstreetmap.org/?mlat=33.4689&amp;mlon=44.2269&amp;zoom=12#map=12/33.4689/44.2269","Maplink1")</f>
        <v>Maplink1</v>
      </c>
      <c r="AU141" s="20" t="str">
        <f>HYPERLINK("https://www.google.iq/maps/search/+33.4689,44.2269/@33.4689,44.2269,14z?hl=en","Maplink2")</f>
        <v>Maplink2</v>
      </c>
      <c r="AV141" s="20" t="str">
        <f>HYPERLINK("http://www.bing.com/maps/?lvl=14&amp;sty=h&amp;cp=33.4689~44.2269&amp;sp=point.33.4689_44.2269","Maplink3")</f>
        <v>Maplink3</v>
      </c>
    </row>
    <row r="142" spans="1:48" x14ac:dyDescent="0.25">
      <c r="A142" s="9">
        <v>25165</v>
      </c>
      <c r="B142" s="10" t="s">
        <v>10</v>
      </c>
      <c r="C142" s="10" t="s">
        <v>284</v>
      </c>
      <c r="D142" s="10" t="s">
        <v>303</v>
      </c>
      <c r="E142" s="10" t="s">
        <v>304</v>
      </c>
      <c r="F142" s="10">
        <v>33.480699999999999</v>
      </c>
      <c r="G142" s="10">
        <v>44.2622</v>
      </c>
      <c r="H142" s="11">
        <v>58</v>
      </c>
      <c r="I142" s="11">
        <v>348</v>
      </c>
      <c r="J142" s="11"/>
      <c r="K142" s="11"/>
      <c r="L142" s="11">
        <v>58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>
        <v>58</v>
      </c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>
        <v>58</v>
      </c>
      <c r="AQ142" s="11"/>
      <c r="AR142" s="11"/>
      <c r="AS142" s="11"/>
      <c r="AT142" s="20" t="str">
        <f>HYPERLINK("http://www.openstreetmap.org/?mlat=33.4807&amp;mlon=44.2622&amp;zoom=12#map=12/33.4807/44.2622","Maplink1")</f>
        <v>Maplink1</v>
      </c>
      <c r="AU142" s="20" t="str">
        <f>HYPERLINK("https://www.google.iq/maps/search/+33.4807,44.2622/@33.4807,44.2622,14z?hl=en","Maplink2")</f>
        <v>Maplink2</v>
      </c>
      <c r="AV142" s="20" t="str">
        <f>HYPERLINK("http://www.bing.com/maps/?lvl=14&amp;sty=h&amp;cp=33.4807~44.2622&amp;sp=point.33.4807_44.2622","Maplink3")</f>
        <v>Maplink3</v>
      </c>
    </row>
    <row r="143" spans="1:48" x14ac:dyDescent="0.25">
      <c r="A143" s="9">
        <v>29585</v>
      </c>
      <c r="B143" s="10" t="s">
        <v>10</v>
      </c>
      <c r="C143" s="10" t="s">
        <v>305</v>
      </c>
      <c r="D143" s="10" t="s">
        <v>306</v>
      </c>
      <c r="E143" s="10" t="s">
        <v>307</v>
      </c>
      <c r="F143" s="10">
        <v>33.028165000000001</v>
      </c>
      <c r="G143" s="10">
        <v>44.142736999999997</v>
      </c>
      <c r="H143" s="11">
        <v>80</v>
      </c>
      <c r="I143" s="11">
        <v>480</v>
      </c>
      <c r="J143" s="11"/>
      <c r="K143" s="11">
        <v>20</v>
      </c>
      <c r="L143" s="11">
        <v>20</v>
      </c>
      <c r="M143" s="11"/>
      <c r="N143" s="11"/>
      <c r="O143" s="11"/>
      <c r="P143" s="11">
        <v>20</v>
      </c>
      <c r="Q143" s="11"/>
      <c r="R143" s="11"/>
      <c r="S143" s="11">
        <v>20</v>
      </c>
      <c r="T143" s="11"/>
      <c r="U143" s="11"/>
      <c r="V143" s="11"/>
      <c r="W143" s="11"/>
      <c r="X143" s="11"/>
      <c r="Y143" s="11"/>
      <c r="Z143" s="11"/>
      <c r="AA143" s="11"/>
      <c r="AB143" s="11"/>
      <c r="AC143" s="11">
        <v>80</v>
      </c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>
        <v>80</v>
      </c>
      <c r="AP143" s="11"/>
      <c r="AQ143" s="11"/>
      <c r="AR143" s="11"/>
      <c r="AS143" s="11"/>
      <c r="AT143" s="20" t="str">
        <f>HYPERLINK("http://www.openstreetmap.org/?mlat=33.0282&amp;mlon=44.1427&amp;zoom=12#map=12/33.0282/44.1427","Maplink1")</f>
        <v>Maplink1</v>
      </c>
      <c r="AU143" s="20" t="str">
        <f>HYPERLINK("https://www.google.iq/maps/search/+33.0282,44.1427/@33.0282,44.1427,14z?hl=en","Maplink2")</f>
        <v>Maplink2</v>
      </c>
      <c r="AV143" s="20" t="str">
        <f>HYPERLINK("http://www.bing.com/maps/?lvl=14&amp;sty=h&amp;cp=33.0282~44.1427&amp;sp=point.33.0282_44.1427","Maplink3")</f>
        <v>Maplink3</v>
      </c>
    </row>
    <row r="144" spans="1:48" x14ac:dyDescent="0.25">
      <c r="A144" s="9">
        <v>29525</v>
      </c>
      <c r="B144" s="10" t="s">
        <v>10</v>
      </c>
      <c r="C144" s="10" t="s">
        <v>305</v>
      </c>
      <c r="D144" s="10" t="s">
        <v>308</v>
      </c>
      <c r="E144" s="10" t="s">
        <v>309</v>
      </c>
      <c r="F144" s="10">
        <v>33.035564870000002</v>
      </c>
      <c r="G144" s="10">
        <v>44.195798250000003</v>
      </c>
      <c r="H144" s="11">
        <v>49</v>
      </c>
      <c r="I144" s="11">
        <v>294</v>
      </c>
      <c r="J144" s="11"/>
      <c r="K144" s="11"/>
      <c r="L144" s="11">
        <v>49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>
        <v>49</v>
      </c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>
        <v>49</v>
      </c>
      <c r="AQ144" s="11"/>
      <c r="AR144" s="11"/>
      <c r="AS144" s="11"/>
      <c r="AT144" s="20" t="str">
        <f>HYPERLINK("http://www.openstreetmap.org/?mlat=33.0356&amp;mlon=44.1958&amp;zoom=12#map=12/33.0356/44.1958","Maplink1")</f>
        <v>Maplink1</v>
      </c>
      <c r="AU144" s="20" t="str">
        <f>HYPERLINK("https://www.google.iq/maps/search/+33.0356,44.1958/@33.0356,44.1958,14z?hl=en","Maplink2")</f>
        <v>Maplink2</v>
      </c>
      <c r="AV144" s="20" t="str">
        <f>HYPERLINK("http://www.bing.com/maps/?lvl=14&amp;sty=h&amp;cp=33.0356~44.1958&amp;sp=point.33.0356_44.1958","Maplink3")</f>
        <v>Maplink3</v>
      </c>
    </row>
    <row r="145" spans="1:48" x14ac:dyDescent="0.25">
      <c r="A145" s="9">
        <v>29524</v>
      </c>
      <c r="B145" s="10" t="s">
        <v>10</v>
      </c>
      <c r="C145" s="10" t="s">
        <v>305</v>
      </c>
      <c r="D145" s="10" t="s">
        <v>310</v>
      </c>
      <c r="E145" s="10" t="s">
        <v>311</v>
      </c>
      <c r="F145" s="10">
        <v>33.124099999999999</v>
      </c>
      <c r="G145" s="10">
        <v>44.505400000000002</v>
      </c>
      <c r="H145" s="11">
        <v>75</v>
      </c>
      <c r="I145" s="11">
        <v>450</v>
      </c>
      <c r="J145" s="11"/>
      <c r="K145" s="11">
        <v>23</v>
      </c>
      <c r="L145" s="11">
        <v>42</v>
      </c>
      <c r="M145" s="11"/>
      <c r="N145" s="11"/>
      <c r="O145" s="11"/>
      <c r="P145" s="11">
        <v>10</v>
      </c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>
        <v>75</v>
      </c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>
        <v>75</v>
      </c>
      <c r="AQ145" s="11"/>
      <c r="AR145" s="11"/>
      <c r="AS145" s="11"/>
      <c r="AT145" s="20" t="str">
        <f>HYPERLINK("http://www.openstreetmap.org/?mlat=33.1241&amp;mlon=44.5054&amp;zoom=12#map=12/33.1241/44.5054","Maplink1")</f>
        <v>Maplink1</v>
      </c>
      <c r="AU145" s="20" t="str">
        <f>HYPERLINK("https://www.google.iq/maps/search/+33.1241,44.5054/@33.1241,44.5054,14z?hl=en","Maplink2")</f>
        <v>Maplink2</v>
      </c>
      <c r="AV145" s="20" t="str">
        <f>HYPERLINK("http://www.bing.com/maps/?lvl=14&amp;sty=h&amp;cp=33.1241~44.5054&amp;sp=point.33.1241_44.5054","Maplink3")</f>
        <v>Maplink3</v>
      </c>
    </row>
    <row r="146" spans="1:48" x14ac:dyDescent="0.25">
      <c r="A146" s="9">
        <v>29527</v>
      </c>
      <c r="B146" s="10" t="s">
        <v>10</v>
      </c>
      <c r="C146" s="10" t="s">
        <v>305</v>
      </c>
      <c r="D146" s="10" t="s">
        <v>312</v>
      </c>
      <c r="E146" s="10" t="s">
        <v>313</v>
      </c>
      <c r="F146" s="10">
        <v>33.042396330000003</v>
      </c>
      <c r="G146" s="10">
        <v>44.188075120000001</v>
      </c>
      <c r="H146" s="11">
        <v>25</v>
      </c>
      <c r="I146" s="11">
        <v>150</v>
      </c>
      <c r="J146" s="11"/>
      <c r="K146" s="11"/>
      <c r="L146" s="11">
        <v>25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>
        <v>25</v>
      </c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>
        <v>25</v>
      </c>
      <c r="AQ146" s="11"/>
      <c r="AR146" s="11"/>
      <c r="AS146" s="11"/>
      <c r="AT146" s="20" t="str">
        <f>HYPERLINK("http://www.openstreetmap.org/?mlat=33.0424&amp;mlon=44.1881&amp;zoom=12#map=12/33.0424/44.1881","Maplink1")</f>
        <v>Maplink1</v>
      </c>
      <c r="AU146" s="20" t="str">
        <f>HYPERLINK("https://www.google.iq/maps/search/+33.0424,44.1881/@33.0424,44.1881,14z?hl=en","Maplink2")</f>
        <v>Maplink2</v>
      </c>
      <c r="AV146" s="20" t="str">
        <f>HYPERLINK("http://www.bing.com/maps/?lvl=14&amp;sty=h&amp;cp=33.0424~44.1881&amp;sp=point.33.0424_44.1881","Maplink3")</f>
        <v>Maplink3</v>
      </c>
    </row>
    <row r="147" spans="1:48" x14ac:dyDescent="0.25">
      <c r="A147" s="9">
        <v>29493</v>
      </c>
      <c r="B147" s="10" t="s">
        <v>10</v>
      </c>
      <c r="C147" s="10" t="s">
        <v>305</v>
      </c>
      <c r="D147" s="10" t="s">
        <v>314</v>
      </c>
      <c r="E147" s="10" t="s">
        <v>315</v>
      </c>
      <c r="F147" s="10">
        <v>33.038465330000001</v>
      </c>
      <c r="G147" s="10">
        <v>44.202811169999997</v>
      </c>
      <c r="H147" s="11">
        <v>70</v>
      </c>
      <c r="I147" s="11">
        <v>420</v>
      </c>
      <c r="J147" s="11"/>
      <c r="K147" s="11"/>
      <c r="L147" s="11">
        <v>70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>
        <v>70</v>
      </c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>
        <v>70</v>
      </c>
      <c r="AP147" s="11"/>
      <c r="AQ147" s="11"/>
      <c r="AR147" s="11"/>
      <c r="AS147" s="11"/>
      <c r="AT147" s="20" t="str">
        <f>HYPERLINK("http://www.openstreetmap.org/?mlat=33.0385&amp;mlon=44.2028&amp;zoom=12#map=12/33.0385/44.2028","Maplink1")</f>
        <v>Maplink1</v>
      </c>
      <c r="AU147" s="20" t="str">
        <f>HYPERLINK("https://www.google.iq/maps/search/+33.0385,44.2028/@33.0385,44.2028,14z?hl=en","Maplink2")</f>
        <v>Maplink2</v>
      </c>
      <c r="AV147" s="20" t="str">
        <f>HYPERLINK("http://www.bing.com/maps/?lvl=14&amp;sty=h&amp;cp=33.0385~44.2028&amp;sp=point.33.0385_44.2028","Maplink3")</f>
        <v>Maplink3</v>
      </c>
    </row>
    <row r="148" spans="1:48" x14ac:dyDescent="0.25">
      <c r="A148" s="9">
        <v>29492</v>
      </c>
      <c r="B148" s="10" t="s">
        <v>10</v>
      </c>
      <c r="C148" s="10" t="s">
        <v>305</v>
      </c>
      <c r="D148" s="10" t="s">
        <v>316</v>
      </c>
      <c r="E148" s="10" t="s">
        <v>317</v>
      </c>
      <c r="F148" s="10">
        <v>33.030382029999998</v>
      </c>
      <c r="G148" s="10">
        <v>44.210254480000003</v>
      </c>
      <c r="H148" s="11">
        <v>33</v>
      </c>
      <c r="I148" s="11">
        <v>198</v>
      </c>
      <c r="J148" s="11"/>
      <c r="K148" s="11"/>
      <c r="L148" s="11">
        <v>33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>
        <v>33</v>
      </c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>
        <v>33</v>
      </c>
      <c r="AQ148" s="11"/>
      <c r="AR148" s="11"/>
      <c r="AS148" s="11"/>
      <c r="AT148" s="20" t="str">
        <f>HYPERLINK("http://www.openstreetmap.org/?mlat=33.0304&amp;mlon=44.2103&amp;zoom=12#map=12/33.0304/44.2103","Maplink1")</f>
        <v>Maplink1</v>
      </c>
      <c r="AU148" s="20" t="str">
        <f>HYPERLINK("https://www.google.iq/maps/search/+33.0304,44.2103/@33.0304,44.2103,14z?hl=en","Maplink2")</f>
        <v>Maplink2</v>
      </c>
      <c r="AV148" s="20" t="str">
        <f>HYPERLINK("http://www.bing.com/maps/?lvl=14&amp;sty=h&amp;cp=33.0304~44.2103&amp;sp=point.33.0304_44.2103","Maplink3")</f>
        <v>Maplink3</v>
      </c>
    </row>
    <row r="149" spans="1:48" x14ac:dyDescent="0.25">
      <c r="A149" s="9">
        <v>29491</v>
      </c>
      <c r="B149" s="10" t="s">
        <v>10</v>
      </c>
      <c r="C149" s="10" t="s">
        <v>305</v>
      </c>
      <c r="D149" s="10" t="s">
        <v>318</v>
      </c>
      <c r="E149" s="10" t="s">
        <v>319</v>
      </c>
      <c r="F149" s="10">
        <v>33.045471589999998</v>
      </c>
      <c r="G149" s="10">
        <v>44.200152109999998</v>
      </c>
      <c r="H149" s="11">
        <v>320</v>
      </c>
      <c r="I149" s="11">
        <v>1920</v>
      </c>
      <c r="J149" s="11"/>
      <c r="K149" s="11">
        <v>20</v>
      </c>
      <c r="L149" s="11">
        <v>200</v>
      </c>
      <c r="M149" s="11"/>
      <c r="N149" s="11"/>
      <c r="O149" s="11"/>
      <c r="P149" s="11">
        <v>24</v>
      </c>
      <c r="Q149" s="11"/>
      <c r="R149" s="11"/>
      <c r="S149" s="11"/>
      <c r="T149" s="11"/>
      <c r="U149" s="11"/>
      <c r="V149" s="11"/>
      <c r="W149" s="11"/>
      <c r="X149" s="11"/>
      <c r="Y149" s="11">
        <v>76</v>
      </c>
      <c r="Z149" s="11"/>
      <c r="AA149" s="11"/>
      <c r="AB149" s="11"/>
      <c r="AC149" s="11">
        <v>320</v>
      </c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>
        <v>320</v>
      </c>
      <c r="AQ149" s="11"/>
      <c r="AR149" s="11"/>
      <c r="AS149" s="11"/>
      <c r="AT149" s="20" t="str">
        <f>HYPERLINK("http://www.openstreetmap.org/?mlat=33.0455&amp;mlon=44.2002&amp;zoom=12#map=12/33.0455/44.2002","Maplink1")</f>
        <v>Maplink1</v>
      </c>
      <c r="AU149" s="20" t="str">
        <f>HYPERLINK("https://www.google.iq/maps/search/+33.0455,44.2002/@33.0455,44.2002,14z?hl=en","Maplink2")</f>
        <v>Maplink2</v>
      </c>
      <c r="AV149" s="20" t="str">
        <f>HYPERLINK("http://www.bing.com/maps/?lvl=14&amp;sty=h&amp;cp=33.0455~44.2002&amp;sp=point.33.0455_44.2002","Maplink3")</f>
        <v>Maplink3</v>
      </c>
    </row>
    <row r="150" spans="1:48" x14ac:dyDescent="0.25">
      <c r="A150" s="9">
        <v>29490</v>
      </c>
      <c r="B150" s="10" t="s">
        <v>10</v>
      </c>
      <c r="C150" s="10" t="s">
        <v>305</v>
      </c>
      <c r="D150" s="10" t="s">
        <v>320</v>
      </c>
      <c r="E150" s="10" t="s">
        <v>321</v>
      </c>
      <c r="F150" s="10">
        <v>32.9908</v>
      </c>
      <c r="G150" s="10">
        <v>44.176000000000002</v>
      </c>
      <c r="H150" s="11">
        <v>400</v>
      </c>
      <c r="I150" s="11">
        <v>2400</v>
      </c>
      <c r="J150" s="11"/>
      <c r="K150" s="11"/>
      <c r="L150" s="11">
        <v>280</v>
      </c>
      <c r="M150" s="11"/>
      <c r="N150" s="11"/>
      <c r="O150" s="11"/>
      <c r="P150" s="11">
        <v>120</v>
      </c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>
        <v>400</v>
      </c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>
        <v>120</v>
      </c>
      <c r="AP150" s="11">
        <v>280</v>
      </c>
      <c r="AQ150" s="11"/>
      <c r="AR150" s="11"/>
      <c r="AS150" s="11"/>
      <c r="AT150" s="20" t="str">
        <f>HYPERLINK("http://www.openstreetmap.org/?mlat=32.9908&amp;mlon=44.176&amp;zoom=12#map=12/32.9908/44.176","Maplink1")</f>
        <v>Maplink1</v>
      </c>
      <c r="AU150" s="20" t="str">
        <f>HYPERLINK("https://www.google.iq/maps/search/+32.9908,44.176/@32.9908,44.176,14z?hl=en","Maplink2")</f>
        <v>Maplink2</v>
      </c>
      <c r="AV150" s="20" t="str">
        <f>HYPERLINK("http://www.bing.com/maps/?lvl=14&amp;sty=h&amp;cp=32.9908~44.176&amp;sp=point.32.9908_44.176","Maplink3")</f>
        <v>Maplink3</v>
      </c>
    </row>
    <row r="151" spans="1:48" x14ac:dyDescent="0.25">
      <c r="A151" s="9">
        <v>29528</v>
      </c>
      <c r="B151" s="10" t="s">
        <v>10</v>
      </c>
      <c r="C151" s="10" t="s">
        <v>305</v>
      </c>
      <c r="D151" s="10" t="s">
        <v>322</v>
      </c>
      <c r="E151" s="10" t="s">
        <v>323</v>
      </c>
      <c r="F151" s="10">
        <v>33.059735689999997</v>
      </c>
      <c r="G151" s="10">
        <v>44.231500820000001</v>
      </c>
      <c r="H151" s="11">
        <v>32</v>
      </c>
      <c r="I151" s="11">
        <v>192</v>
      </c>
      <c r="J151" s="11"/>
      <c r="K151" s="11"/>
      <c r="L151" s="11">
        <v>32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>
        <v>32</v>
      </c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>
        <v>32</v>
      </c>
      <c r="AQ151" s="11"/>
      <c r="AR151" s="11"/>
      <c r="AS151" s="11"/>
      <c r="AT151" s="20" t="str">
        <f>HYPERLINK("http://www.openstreetmap.org/?mlat=33.0597&amp;mlon=44.2315&amp;zoom=12#map=12/33.0597/44.2315","Maplink1")</f>
        <v>Maplink1</v>
      </c>
      <c r="AU151" s="20" t="str">
        <f>HYPERLINK("https://www.google.iq/maps/search/+33.0597,44.2315/@33.0597,44.2315,14z?hl=en","Maplink2")</f>
        <v>Maplink2</v>
      </c>
      <c r="AV151" s="20" t="str">
        <f>HYPERLINK("http://www.bing.com/maps/?lvl=14&amp;sty=h&amp;cp=33.0597~44.2315&amp;sp=point.33.0597_44.2315","Maplink3")</f>
        <v>Maplink3</v>
      </c>
    </row>
    <row r="152" spans="1:48" x14ac:dyDescent="0.25">
      <c r="A152" s="9">
        <v>29523</v>
      </c>
      <c r="B152" s="10" t="s">
        <v>10</v>
      </c>
      <c r="C152" s="10" t="s">
        <v>305</v>
      </c>
      <c r="D152" s="10" t="s">
        <v>324</v>
      </c>
      <c r="E152" s="10" t="s">
        <v>325</v>
      </c>
      <c r="F152" s="10">
        <v>33.064230000000002</v>
      </c>
      <c r="G152" s="10">
        <v>44.233170000000001</v>
      </c>
      <c r="H152" s="11">
        <v>1050</v>
      </c>
      <c r="I152" s="11">
        <v>6300</v>
      </c>
      <c r="J152" s="11"/>
      <c r="K152" s="11">
        <v>51</v>
      </c>
      <c r="L152" s="11">
        <v>900</v>
      </c>
      <c r="M152" s="11"/>
      <c r="N152" s="11"/>
      <c r="O152" s="11"/>
      <c r="P152" s="11">
        <v>99</v>
      </c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>
        <v>1050</v>
      </c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>
        <v>1050</v>
      </c>
      <c r="AQ152" s="11"/>
      <c r="AR152" s="11"/>
      <c r="AS152" s="11"/>
      <c r="AT152" s="20" t="str">
        <f>HYPERLINK("http://www.openstreetmap.org/?mlat=33.0642&amp;mlon=44.2332&amp;zoom=12#map=12/33.0642/44.2332","Maplink1")</f>
        <v>Maplink1</v>
      </c>
      <c r="AU152" s="20" t="str">
        <f>HYPERLINK("https://www.google.iq/maps/search/+33.0642,44.2332/@33.0642,44.2332,14z?hl=en","Maplink2")</f>
        <v>Maplink2</v>
      </c>
      <c r="AV152" s="20" t="str">
        <f>HYPERLINK("http://www.bing.com/maps/?lvl=14&amp;sty=h&amp;cp=33.0642~44.2332&amp;sp=point.33.0642_44.2332","Maplink3")</f>
        <v>Maplink3</v>
      </c>
    </row>
    <row r="153" spans="1:48" x14ac:dyDescent="0.25">
      <c r="A153" s="9">
        <v>25153</v>
      </c>
      <c r="B153" s="10" t="s">
        <v>10</v>
      </c>
      <c r="C153" s="10" t="s">
        <v>305</v>
      </c>
      <c r="D153" s="10" t="s">
        <v>1148</v>
      </c>
      <c r="E153" s="10" t="s">
        <v>1149</v>
      </c>
      <c r="F153" s="10">
        <v>32.944312009999997</v>
      </c>
      <c r="G153" s="10">
        <v>44.35577996</v>
      </c>
      <c r="H153" s="11">
        <v>22</v>
      </c>
      <c r="I153" s="11">
        <v>132</v>
      </c>
      <c r="J153" s="11"/>
      <c r="K153" s="11"/>
      <c r="L153" s="11">
        <v>22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>
        <v>22</v>
      </c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>
        <v>22</v>
      </c>
      <c r="AQ153" s="11"/>
      <c r="AR153" s="11"/>
      <c r="AS153" s="11"/>
      <c r="AT153" s="20" t="str">
        <f>HYPERLINK("http://www.openstreetmap.org/?mlat=32.9443&amp;mlon=44.3558&amp;zoom=12#map=12/32.9443/44.3558","Maplink1")</f>
        <v>Maplink1</v>
      </c>
      <c r="AU153" s="20" t="str">
        <f>HYPERLINK("https://www.google.iq/maps/search/+32.9443,44.3558/@32.9443,44.3558,14z?hl=en","Maplink2")</f>
        <v>Maplink2</v>
      </c>
      <c r="AV153" s="20" t="str">
        <f>HYPERLINK("http://www.bing.com/maps/?lvl=14&amp;sty=h&amp;cp=32.9443~44.3558&amp;sp=point.32.9443_44.3558","Maplink3")</f>
        <v>Maplink3</v>
      </c>
    </row>
    <row r="154" spans="1:48" x14ac:dyDescent="0.25">
      <c r="A154" s="9">
        <v>29489</v>
      </c>
      <c r="B154" s="10" t="s">
        <v>10</v>
      </c>
      <c r="C154" s="10" t="s">
        <v>305</v>
      </c>
      <c r="D154" s="10" t="s">
        <v>326</v>
      </c>
      <c r="E154" s="10" t="s">
        <v>327</v>
      </c>
      <c r="F154" s="10">
        <v>32.947200000000002</v>
      </c>
      <c r="G154" s="10">
        <v>44.386899999999997</v>
      </c>
      <c r="H154" s="11">
        <v>36</v>
      </c>
      <c r="I154" s="11">
        <v>216</v>
      </c>
      <c r="J154" s="11"/>
      <c r="K154" s="11"/>
      <c r="L154" s="11">
        <v>36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>
        <v>36</v>
      </c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>
        <v>36</v>
      </c>
      <c r="AQ154" s="11"/>
      <c r="AR154" s="11"/>
      <c r="AS154" s="11"/>
      <c r="AT154" s="20" t="str">
        <f>HYPERLINK("http://www.openstreetmap.org/?mlat=32.9472&amp;mlon=44.3869&amp;zoom=12#map=12/32.9472/44.3869","Maplink1")</f>
        <v>Maplink1</v>
      </c>
      <c r="AU154" s="20" t="str">
        <f>HYPERLINK("https://www.google.iq/maps/search/+32.9472,44.3869/@32.9472,44.3869,14z?hl=en","Maplink2")</f>
        <v>Maplink2</v>
      </c>
      <c r="AV154" s="20" t="str">
        <f>HYPERLINK("http://www.bing.com/maps/?lvl=14&amp;sty=h&amp;cp=32.9472~44.3869&amp;sp=point.32.9472_44.3869","Maplink3")</f>
        <v>Maplink3</v>
      </c>
    </row>
    <row r="155" spans="1:48" x14ac:dyDescent="0.25">
      <c r="A155" s="9">
        <v>29487</v>
      </c>
      <c r="B155" s="10" t="s">
        <v>10</v>
      </c>
      <c r="C155" s="10" t="s">
        <v>305</v>
      </c>
      <c r="D155" s="10" t="s">
        <v>328</v>
      </c>
      <c r="E155" s="10" t="s">
        <v>329</v>
      </c>
      <c r="F155" s="10">
        <v>33.020099999999999</v>
      </c>
      <c r="G155" s="10">
        <v>44.381100000000004</v>
      </c>
      <c r="H155" s="11">
        <v>86</v>
      </c>
      <c r="I155" s="11">
        <v>516</v>
      </c>
      <c r="J155" s="11"/>
      <c r="K155" s="11"/>
      <c r="L155" s="11">
        <v>86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>
        <v>86</v>
      </c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>
        <v>86</v>
      </c>
      <c r="AQ155" s="11"/>
      <c r="AR155" s="11"/>
      <c r="AS155" s="11"/>
      <c r="AT155" s="20" t="str">
        <f>HYPERLINK("http://www.openstreetmap.org/?mlat=33.0201&amp;mlon=44.3811&amp;zoom=12#map=12/33.0201/44.3811","Maplink1")</f>
        <v>Maplink1</v>
      </c>
      <c r="AU155" s="20" t="str">
        <f>HYPERLINK("https://www.google.iq/maps/search/+33.0201,44.3811/@33.0201,44.3811,14z?hl=en","Maplink2")</f>
        <v>Maplink2</v>
      </c>
      <c r="AV155" s="20" t="str">
        <f>HYPERLINK("http://www.bing.com/maps/?lvl=14&amp;sty=h&amp;cp=33.0201~44.3811&amp;sp=point.33.0201_44.3811","Maplink3")</f>
        <v>Maplink3</v>
      </c>
    </row>
    <row r="156" spans="1:48" x14ac:dyDescent="0.25">
      <c r="A156" s="9">
        <v>29488</v>
      </c>
      <c r="B156" s="10" t="s">
        <v>10</v>
      </c>
      <c r="C156" s="10" t="s">
        <v>305</v>
      </c>
      <c r="D156" s="10" t="s">
        <v>330</v>
      </c>
      <c r="E156" s="10" t="s">
        <v>331</v>
      </c>
      <c r="F156" s="10">
        <v>33.015099999999997</v>
      </c>
      <c r="G156" s="10">
        <v>44.380800000000001</v>
      </c>
      <c r="H156" s="11">
        <v>100</v>
      </c>
      <c r="I156" s="11">
        <v>600</v>
      </c>
      <c r="J156" s="11"/>
      <c r="K156" s="11"/>
      <c r="L156" s="11">
        <v>100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>
        <v>100</v>
      </c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>
        <v>100</v>
      </c>
      <c r="AQ156" s="11"/>
      <c r="AR156" s="11"/>
      <c r="AS156" s="11"/>
      <c r="AT156" s="20" t="str">
        <f>HYPERLINK("http://www.openstreetmap.org/?mlat=33.0151&amp;mlon=44.3808&amp;zoom=12#map=12/33.0151/44.3808","Maplink1")</f>
        <v>Maplink1</v>
      </c>
      <c r="AU156" s="20" t="str">
        <f>HYPERLINK("https://www.google.iq/maps/search/+33.0151,44.3808/@33.0151,44.3808,14z?hl=en","Maplink2")</f>
        <v>Maplink2</v>
      </c>
      <c r="AV156" s="20" t="str">
        <f>HYPERLINK("http://www.bing.com/maps/?lvl=14&amp;sty=h&amp;cp=33.0151~44.3808&amp;sp=point.33.0151_44.3808","Maplink3")</f>
        <v>Maplink3</v>
      </c>
    </row>
    <row r="157" spans="1:48" x14ac:dyDescent="0.25">
      <c r="A157" s="9">
        <v>7685</v>
      </c>
      <c r="B157" s="10" t="s">
        <v>10</v>
      </c>
      <c r="C157" s="10" t="s">
        <v>305</v>
      </c>
      <c r="D157" s="10" t="s">
        <v>332</v>
      </c>
      <c r="E157" s="10" t="s">
        <v>333</v>
      </c>
      <c r="F157" s="10">
        <v>32.9756</v>
      </c>
      <c r="G157" s="10">
        <v>44.416400000000003</v>
      </c>
      <c r="H157" s="11">
        <v>45</v>
      </c>
      <c r="I157" s="11">
        <v>270</v>
      </c>
      <c r="J157" s="11"/>
      <c r="K157" s="11"/>
      <c r="L157" s="11">
        <v>45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>
        <v>45</v>
      </c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>
        <v>45</v>
      </c>
      <c r="AP157" s="11"/>
      <c r="AQ157" s="11"/>
      <c r="AR157" s="11"/>
      <c r="AS157" s="11"/>
      <c r="AT157" s="20" t="str">
        <f>HYPERLINK("http://www.openstreetmap.org/?mlat=32.9756&amp;mlon=44.4164&amp;zoom=12#map=12/32.9756/44.4164","Maplink1")</f>
        <v>Maplink1</v>
      </c>
      <c r="AU157" s="20" t="str">
        <f>HYPERLINK("https://www.google.iq/maps/search/+32.9756,44.4164/@32.9756,44.4164,14z?hl=en","Maplink2")</f>
        <v>Maplink2</v>
      </c>
      <c r="AV157" s="20" t="str">
        <f>HYPERLINK("http://www.bing.com/maps/?lvl=14&amp;sty=h&amp;cp=32.9756~44.4164&amp;sp=point.32.9756_44.4164","Maplink3")</f>
        <v>Maplink3</v>
      </c>
    </row>
    <row r="158" spans="1:48" x14ac:dyDescent="0.25">
      <c r="A158" s="9">
        <v>7684</v>
      </c>
      <c r="B158" s="10" t="s">
        <v>10</v>
      </c>
      <c r="C158" s="10" t="s">
        <v>305</v>
      </c>
      <c r="D158" s="10" t="s">
        <v>334</v>
      </c>
      <c r="E158" s="10" t="s">
        <v>335</v>
      </c>
      <c r="F158" s="10">
        <v>32.9876</v>
      </c>
      <c r="G158" s="10">
        <v>44.396799999999999</v>
      </c>
      <c r="H158" s="11">
        <v>33</v>
      </c>
      <c r="I158" s="11">
        <v>198</v>
      </c>
      <c r="J158" s="11"/>
      <c r="K158" s="11"/>
      <c r="L158" s="11">
        <v>33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>
        <v>33</v>
      </c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>
        <v>33</v>
      </c>
      <c r="AP158" s="11"/>
      <c r="AQ158" s="11"/>
      <c r="AR158" s="11"/>
      <c r="AS158" s="11"/>
      <c r="AT158" s="20" t="str">
        <f>HYPERLINK("http://www.openstreetmap.org/?mlat=32.9876&amp;mlon=44.3968&amp;zoom=12#map=12/32.9876/44.3968","Maplink1")</f>
        <v>Maplink1</v>
      </c>
      <c r="AU158" s="20" t="str">
        <f>HYPERLINK("https://www.google.iq/maps/search/+32.9876,44.3968/@32.9876,44.3968,14z?hl=en","Maplink2")</f>
        <v>Maplink2</v>
      </c>
      <c r="AV158" s="20" t="str">
        <f>HYPERLINK("http://www.bing.com/maps/?lvl=14&amp;sty=h&amp;cp=32.9876~44.3968&amp;sp=point.32.9876_44.3968","Maplink3")</f>
        <v>Maplink3</v>
      </c>
    </row>
    <row r="159" spans="1:48" x14ac:dyDescent="0.25">
      <c r="A159" s="9">
        <v>29526</v>
      </c>
      <c r="B159" s="10" t="s">
        <v>10</v>
      </c>
      <c r="C159" s="10" t="s">
        <v>305</v>
      </c>
      <c r="D159" s="10" t="s">
        <v>336</v>
      </c>
      <c r="E159" s="10" t="s">
        <v>337</v>
      </c>
      <c r="F159" s="10">
        <v>33.027062200000003</v>
      </c>
      <c r="G159" s="10">
        <v>44.219362410000002</v>
      </c>
      <c r="H159" s="11">
        <v>150</v>
      </c>
      <c r="I159" s="11">
        <v>900</v>
      </c>
      <c r="J159" s="11"/>
      <c r="K159" s="11">
        <v>44</v>
      </c>
      <c r="L159" s="11">
        <v>98</v>
      </c>
      <c r="M159" s="11"/>
      <c r="N159" s="11"/>
      <c r="O159" s="11"/>
      <c r="P159" s="11">
        <v>8</v>
      </c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>
        <v>150</v>
      </c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>
        <v>48</v>
      </c>
      <c r="AP159" s="11">
        <v>102</v>
      </c>
      <c r="AQ159" s="11"/>
      <c r="AR159" s="11"/>
      <c r="AS159" s="11"/>
      <c r="AT159" s="20" t="str">
        <f>HYPERLINK("http://www.openstreetmap.org/?mlat=33.0271&amp;mlon=44.2194&amp;zoom=12#map=12/33.0271/44.2194","Maplink1")</f>
        <v>Maplink1</v>
      </c>
      <c r="AU159" s="20" t="str">
        <f>HYPERLINK("https://www.google.iq/maps/search/+33.0271,44.2194/@33.0271,44.2194,14z?hl=en","Maplink2")</f>
        <v>Maplink2</v>
      </c>
      <c r="AV159" s="20" t="str">
        <f>HYPERLINK("http://www.bing.com/maps/?lvl=14&amp;sty=h&amp;cp=33.0271~44.2194&amp;sp=point.33.0271_44.2194","Maplink3")</f>
        <v>Maplink3</v>
      </c>
    </row>
    <row r="160" spans="1:48" x14ac:dyDescent="0.25">
      <c r="A160" s="9">
        <v>25658</v>
      </c>
      <c r="B160" s="10" t="s">
        <v>13</v>
      </c>
      <c r="C160" s="10" t="s">
        <v>338</v>
      </c>
      <c r="D160" s="10" t="s">
        <v>339</v>
      </c>
      <c r="E160" s="10" t="s">
        <v>340</v>
      </c>
      <c r="F160" s="10">
        <v>34.065792850000001</v>
      </c>
      <c r="G160" s="10">
        <v>44.870625910000001</v>
      </c>
      <c r="H160" s="11">
        <v>180</v>
      </c>
      <c r="I160" s="11">
        <v>1080</v>
      </c>
      <c r="J160" s="11"/>
      <c r="K160" s="11"/>
      <c r="L160" s="11"/>
      <c r="M160" s="11"/>
      <c r="N160" s="11"/>
      <c r="O160" s="11">
        <v>125</v>
      </c>
      <c r="P160" s="11"/>
      <c r="Q160" s="11"/>
      <c r="R160" s="11">
        <v>25</v>
      </c>
      <c r="S160" s="11"/>
      <c r="T160" s="11"/>
      <c r="U160" s="11"/>
      <c r="V160" s="11"/>
      <c r="W160" s="11"/>
      <c r="X160" s="11"/>
      <c r="Y160" s="11">
        <v>30</v>
      </c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>
        <v>180</v>
      </c>
      <c r="AL160" s="11"/>
      <c r="AM160" s="11"/>
      <c r="AN160" s="11"/>
      <c r="AO160" s="11"/>
      <c r="AP160" s="11">
        <v>180</v>
      </c>
      <c r="AQ160" s="11"/>
      <c r="AR160" s="11"/>
      <c r="AS160" s="11"/>
      <c r="AT160" s="20" t="str">
        <f>HYPERLINK("http://www.openstreetmap.org/?mlat=34.0658&amp;mlon=44.8706&amp;zoom=12#map=12/34.0658/44.8706","Maplink1")</f>
        <v>Maplink1</v>
      </c>
      <c r="AU160" s="20" t="str">
        <f>HYPERLINK("https://www.google.iq/maps/search/+34.0658,44.8706/@34.0658,44.8706,14z?hl=en","Maplink2")</f>
        <v>Maplink2</v>
      </c>
      <c r="AV160" s="20" t="str">
        <f>HYPERLINK("http://www.bing.com/maps/?lvl=14&amp;sty=h&amp;cp=34.0658~44.8706&amp;sp=point.34.0658_44.8706","Maplink3")</f>
        <v>Maplink3</v>
      </c>
    </row>
    <row r="161" spans="1:48" x14ac:dyDescent="0.25">
      <c r="A161" s="9">
        <v>25662</v>
      </c>
      <c r="B161" s="10" t="s">
        <v>13</v>
      </c>
      <c r="C161" s="10" t="s">
        <v>338</v>
      </c>
      <c r="D161" s="10" t="s">
        <v>1150</v>
      </c>
      <c r="E161" s="10" t="s">
        <v>392</v>
      </c>
      <c r="F161" s="10">
        <v>34.078908400000003</v>
      </c>
      <c r="G161" s="10">
        <v>44.85592183</v>
      </c>
      <c r="H161" s="11">
        <v>318</v>
      </c>
      <c r="I161" s="11">
        <v>1908</v>
      </c>
      <c r="J161" s="11"/>
      <c r="K161" s="11"/>
      <c r="L161" s="11"/>
      <c r="M161" s="11"/>
      <c r="N161" s="11"/>
      <c r="O161" s="11">
        <v>230</v>
      </c>
      <c r="P161" s="11"/>
      <c r="Q161" s="11"/>
      <c r="R161" s="11"/>
      <c r="S161" s="11"/>
      <c r="T161" s="11"/>
      <c r="U161" s="11"/>
      <c r="V161" s="11"/>
      <c r="W161" s="11"/>
      <c r="X161" s="11"/>
      <c r="Y161" s="11">
        <v>88</v>
      </c>
      <c r="Z161" s="11"/>
      <c r="AA161" s="11"/>
      <c r="AB161" s="11"/>
      <c r="AC161" s="11">
        <v>171</v>
      </c>
      <c r="AD161" s="11"/>
      <c r="AE161" s="11"/>
      <c r="AF161" s="11"/>
      <c r="AG161" s="11"/>
      <c r="AH161" s="11"/>
      <c r="AI161" s="11"/>
      <c r="AJ161" s="11"/>
      <c r="AK161" s="11">
        <v>147</v>
      </c>
      <c r="AL161" s="11"/>
      <c r="AM161" s="11"/>
      <c r="AN161" s="11">
        <v>318</v>
      </c>
      <c r="AO161" s="11"/>
      <c r="AP161" s="11"/>
      <c r="AQ161" s="11"/>
      <c r="AR161" s="11"/>
      <c r="AS161" s="11"/>
      <c r="AT161" s="20" t="str">
        <f>HYPERLINK("http://www.openstreetmap.org/?mlat=34.0789&amp;mlon=44.8559&amp;zoom=12#map=12/34.0789/44.8559","Maplink1")</f>
        <v>Maplink1</v>
      </c>
      <c r="AU161" s="20" t="str">
        <f>HYPERLINK("https://www.google.iq/maps/search/+34.0789,44.8559/@34.0789,44.8559,14z?hl=en","Maplink2")</f>
        <v>Maplink2</v>
      </c>
      <c r="AV161" s="20" t="str">
        <f>HYPERLINK("http://www.bing.com/maps/?lvl=14&amp;sty=h&amp;cp=34.0789~44.8559&amp;sp=point.34.0789_44.8559","Maplink3")</f>
        <v>Maplink3</v>
      </c>
    </row>
    <row r="162" spans="1:48" x14ac:dyDescent="0.25">
      <c r="A162" s="9">
        <v>25032</v>
      </c>
      <c r="B162" s="10" t="s">
        <v>13</v>
      </c>
      <c r="C162" s="10" t="s">
        <v>338</v>
      </c>
      <c r="D162" s="10" t="s">
        <v>1151</v>
      </c>
      <c r="E162" s="10" t="s">
        <v>126</v>
      </c>
      <c r="F162" s="10">
        <v>33.78262522</v>
      </c>
      <c r="G162" s="10">
        <v>44.516209709999998</v>
      </c>
      <c r="H162" s="11">
        <v>310</v>
      </c>
      <c r="I162" s="11">
        <v>1860</v>
      </c>
      <c r="J162" s="11"/>
      <c r="K162" s="11"/>
      <c r="L162" s="11"/>
      <c r="M162" s="11"/>
      <c r="N162" s="11"/>
      <c r="O162" s="11">
        <v>253</v>
      </c>
      <c r="P162" s="11"/>
      <c r="Q162" s="11"/>
      <c r="R162" s="11">
        <v>57</v>
      </c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>
        <v>310</v>
      </c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>
        <v>310</v>
      </c>
      <c r="AO162" s="11"/>
      <c r="AP162" s="11"/>
      <c r="AQ162" s="11"/>
      <c r="AR162" s="11"/>
      <c r="AS162" s="11"/>
      <c r="AT162" s="20" t="str">
        <f>HYPERLINK("http://www.openstreetmap.org/?mlat=33.7826&amp;mlon=44.5162&amp;zoom=12#map=12/33.7826/44.5162","Maplink1")</f>
        <v>Maplink1</v>
      </c>
      <c r="AU162" s="20" t="str">
        <f>HYPERLINK("https://www.google.iq/maps/search/+33.7826,44.5162/@33.7826,44.5162,14z?hl=en","Maplink2")</f>
        <v>Maplink2</v>
      </c>
      <c r="AV162" s="20" t="str">
        <f>HYPERLINK("http://www.bing.com/maps/?lvl=14&amp;sty=h&amp;cp=33.7826~44.5162&amp;sp=point.33.7826_44.5162","Maplink3")</f>
        <v>Maplink3</v>
      </c>
    </row>
    <row r="163" spans="1:48" x14ac:dyDescent="0.25">
      <c r="A163" s="9">
        <v>27182</v>
      </c>
      <c r="B163" s="10" t="s">
        <v>13</v>
      </c>
      <c r="C163" s="10" t="s">
        <v>338</v>
      </c>
      <c r="D163" s="10" t="s">
        <v>341</v>
      </c>
      <c r="E163" s="10" t="s">
        <v>342</v>
      </c>
      <c r="F163" s="10">
        <v>34.216153640000002</v>
      </c>
      <c r="G163" s="10">
        <v>44.512386360000001</v>
      </c>
      <c r="H163" s="11">
        <v>33</v>
      </c>
      <c r="I163" s="11">
        <v>198</v>
      </c>
      <c r="J163" s="11"/>
      <c r="K163" s="11"/>
      <c r="L163" s="11"/>
      <c r="M163" s="11"/>
      <c r="N163" s="11"/>
      <c r="O163" s="11"/>
      <c r="P163" s="11"/>
      <c r="Q163" s="11"/>
      <c r="R163" s="11">
        <v>33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>
        <v>33</v>
      </c>
      <c r="AE163" s="11"/>
      <c r="AF163" s="11"/>
      <c r="AG163" s="11"/>
      <c r="AH163" s="11"/>
      <c r="AI163" s="11"/>
      <c r="AJ163" s="11"/>
      <c r="AK163" s="11"/>
      <c r="AL163" s="11"/>
      <c r="AM163" s="11"/>
      <c r="AN163" s="11">
        <v>33</v>
      </c>
      <c r="AO163" s="11"/>
      <c r="AP163" s="11"/>
      <c r="AQ163" s="11"/>
      <c r="AR163" s="11"/>
      <c r="AS163" s="11"/>
      <c r="AT163" s="20" t="str">
        <f>HYPERLINK("http://www.openstreetmap.org/?mlat=34.2162&amp;mlon=44.5124&amp;zoom=12#map=12/34.2162/44.5124","Maplink1")</f>
        <v>Maplink1</v>
      </c>
      <c r="AU163" s="20" t="str">
        <f>HYPERLINK("https://www.google.iq/maps/search/+34.2162,44.5124/@34.2162,44.5124,14z?hl=en","Maplink2")</f>
        <v>Maplink2</v>
      </c>
      <c r="AV163" s="20" t="str">
        <f>HYPERLINK("http://www.bing.com/maps/?lvl=14&amp;sty=h&amp;cp=34.2162~44.5124&amp;sp=point.34.2162_44.5124","Maplink3")</f>
        <v>Maplink3</v>
      </c>
    </row>
    <row r="164" spans="1:48" x14ac:dyDescent="0.25">
      <c r="A164" s="9">
        <v>25659</v>
      </c>
      <c r="B164" s="10" t="s">
        <v>13</v>
      </c>
      <c r="C164" s="10" t="s">
        <v>338</v>
      </c>
      <c r="D164" s="10" t="s">
        <v>343</v>
      </c>
      <c r="E164" s="10" t="s">
        <v>344</v>
      </c>
      <c r="F164" s="10">
        <v>34.091725642599997</v>
      </c>
      <c r="G164" s="10">
        <v>44.936574357300003</v>
      </c>
      <c r="H164" s="11">
        <v>47</v>
      </c>
      <c r="I164" s="11">
        <v>282</v>
      </c>
      <c r="J164" s="11"/>
      <c r="K164" s="11"/>
      <c r="L164" s="11"/>
      <c r="M164" s="11"/>
      <c r="N164" s="11"/>
      <c r="O164" s="11">
        <v>32</v>
      </c>
      <c r="P164" s="11"/>
      <c r="Q164" s="11"/>
      <c r="R164" s="11"/>
      <c r="S164" s="11"/>
      <c r="T164" s="11"/>
      <c r="U164" s="11"/>
      <c r="V164" s="11"/>
      <c r="W164" s="11"/>
      <c r="X164" s="11"/>
      <c r="Y164" s="11">
        <v>15</v>
      </c>
      <c r="Z164" s="11"/>
      <c r="AA164" s="11"/>
      <c r="AB164" s="11"/>
      <c r="AC164" s="11">
        <v>15</v>
      </c>
      <c r="AD164" s="11"/>
      <c r="AE164" s="11"/>
      <c r="AF164" s="11"/>
      <c r="AG164" s="11"/>
      <c r="AH164" s="11"/>
      <c r="AI164" s="11"/>
      <c r="AJ164" s="11"/>
      <c r="AK164" s="11">
        <v>32</v>
      </c>
      <c r="AL164" s="11"/>
      <c r="AM164" s="11"/>
      <c r="AN164" s="11"/>
      <c r="AO164" s="11"/>
      <c r="AP164" s="11">
        <v>47</v>
      </c>
      <c r="AQ164" s="11"/>
      <c r="AR164" s="11"/>
      <c r="AS164" s="11"/>
      <c r="AT164" s="20" t="str">
        <f>HYPERLINK("http://www.openstreetmap.org/?mlat=34.0917&amp;mlon=44.9366&amp;zoom=12#map=12/34.0917/44.9366","Maplink1")</f>
        <v>Maplink1</v>
      </c>
      <c r="AU164" s="20" t="str">
        <f>HYPERLINK("https://www.google.iq/maps/search/+34.0917,44.9366/@34.0917,44.9366,14z?hl=en","Maplink2")</f>
        <v>Maplink2</v>
      </c>
      <c r="AV164" s="20" t="str">
        <f>HYPERLINK("http://www.bing.com/maps/?lvl=14&amp;sty=h&amp;cp=34.0917~44.9366&amp;sp=point.34.0917_44.9366","Maplink3")</f>
        <v>Maplink3</v>
      </c>
    </row>
    <row r="165" spans="1:48" x14ac:dyDescent="0.25">
      <c r="A165" s="9">
        <v>27176</v>
      </c>
      <c r="B165" s="10" t="s">
        <v>13</v>
      </c>
      <c r="C165" s="10" t="s">
        <v>338</v>
      </c>
      <c r="D165" s="10" t="s">
        <v>345</v>
      </c>
      <c r="E165" s="10" t="s">
        <v>346</v>
      </c>
      <c r="F165" s="10">
        <v>34.012702009999998</v>
      </c>
      <c r="G165" s="10">
        <v>44.309891049999997</v>
      </c>
      <c r="H165" s="11">
        <v>70</v>
      </c>
      <c r="I165" s="11">
        <v>420</v>
      </c>
      <c r="J165" s="11"/>
      <c r="K165" s="11"/>
      <c r="L165" s="11"/>
      <c r="M165" s="11"/>
      <c r="N165" s="11"/>
      <c r="O165" s="11"/>
      <c r="P165" s="11"/>
      <c r="Q165" s="11"/>
      <c r="R165" s="11">
        <v>70</v>
      </c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>
        <v>70</v>
      </c>
      <c r="AE165" s="11"/>
      <c r="AF165" s="11"/>
      <c r="AG165" s="11"/>
      <c r="AH165" s="11"/>
      <c r="AI165" s="11"/>
      <c r="AJ165" s="11"/>
      <c r="AK165" s="11"/>
      <c r="AL165" s="11"/>
      <c r="AM165" s="11"/>
      <c r="AN165" s="11">
        <v>70</v>
      </c>
      <c r="AO165" s="11"/>
      <c r="AP165" s="11"/>
      <c r="AQ165" s="11"/>
      <c r="AR165" s="11"/>
      <c r="AS165" s="11"/>
      <c r="AT165" s="20" t="str">
        <f>HYPERLINK("http://www.openstreetmap.org/?mlat=34.0127&amp;mlon=44.3099&amp;zoom=12#map=12/34.0127/44.3099","Maplink1")</f>
        <v>Maplink1</v>
      </c>
      <c r="AU165" s="20" t="str">
        <f>HYPERLINK("https://www.google.iq/maps/search/+34.0127,44.3099/@34.0127,44.3099,14z?hl=en","Maplink2")</f>
        <v>Maplink2</v>
      </c>
      <c r="AV165" s="20" t="str">
        <f>HYPERLINK("http://www.bing.com/maps/?lvl=14&amp;sty=h&amp;cp=34.0127~44.3099&amp;sp=point.34.0127_44.3099","Maplink3")</f>
        <v>Maplink3</v>
      </c>
    </row>
    <row r="166" spans="1:48" x14ac:dyDescent="0.25">
      <c r="A166" s="9">
        <v>26075</v>
      </c>
      <c r="B166" s="10" t="s">
        <v>13</v>
      </c>
      <c r="C166" s="10" t="s">
        <v>338</v>
      </c>
      <c r="D166" s="10" t="s">
        <v>347</v>
      </c>
      <c r="E166" s="10" t="s">
        <v>348</v>
      </c>
      <c r="F166" s="10">
        <v>34.064443390000001</v>
      </c>
      <c r="G166" s="10">
        <v>44.89687412</v>
      </c>
      <c r="H166" s="11">
        <v>200</v>
      </c>
      <c r="I166" s="11">
        <v>1200</v>
      </c>
      <c r="J166" s="11"/>
      <c r="K166" s="11"/>
      <c r="L166" s="11"/>
      <c r="M166" s="11"/>
      <c r="N166" s="11"/>
      <c r="O166" s="11">
        <v>200</v>
      </c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>
        <v>55</v>
      </c>
      <c r="AD166" s="11"/>
      <c r="AE166" s="11"/>
      <c r="AF166" s="11"/>
      <c r="AG166" s="11"/>
      <c r="AH166" s="11"/>
      <c r="AI166" s="11"/>
      <c r="AJ166" s="11"/>
      <c r="AK166" s="11">
        <v>145</v>
      </c>
      <c r="AL166" s="11"/>
      <c r="AM166" s="11"/>
      <c r="AN166" s="11">
        <v>200</v>
      </c>
      <c r="AO166" s="11"/>
      <c r="AP166" s="11"/>
      <c r="AQ166" s="11"/>
      <c r="AR166" s="11"/>
      <c r="AS166" s="11"/>
      <c r="AT166" s="20" t="str">
        <f>HYPERLINK("http://www.openstreetmap.org/?mlat=34.0644&amp;mlon=44.8969&amp;zoom=12#map=12/34.0644/44.8969","Maplink1")</f>
        <v>Maplink1</v>
      </c>
      <c r="AU166" s="20" t="str">
        <f>HYPERLINK("https://www.google.iq/maps/search/+34.0644,44.8969/@34.0644,44.8969,14z?hl=en","Maplink2")</f>
        <v>Maplink2</v>
      </c>
      <c r="AV166" s="20" t="str">
        <f>HYPERLINK("http://www.bing.com/maps/?lvl=14&amp;sty=h&amp;cp=34.0644~44.8969&amp;sp=point.34.0644_44.8969","Maplink3")</f>
        <v>Maplink3</v>
      </c>
    </row>
    <row r="167" spans="1:48" x14ac:dyDescent="0.25">
      <c r="A167" s="9">
        <v>28469</v>
      </c>
      <c r="B167" s="10" t="s">
        <v>13</v>
      </c>
      <c r="C167" s="10" t="s">
        <v>338</v>
      </c>
      <c r="D167" s="10" t="s">
        <v>349</v>
      </c>
      <c r="E167" s="10" t="s">
        <v>350</v>
      </c>
      <c r="F167" s="10">
        <v>34.278477549999998</v>
      </c>
      <c r="G167" s="10">
        <v>44.562996480000002</v>
      </c>
      <c r="H167" s="11">
        <v>120</v>
      </c>
      <c r="I167" s="11">
        <v>720</v>
      </c>
      <c r="J167" s="11"/>
      <c r="K167" s="11"/>
      <c r="L167" s="11"/>
      <c r="M167" s="11"/>
      <c r="N167" s="11"/>
      <c r="O167" s="11">
        <v>92</v>
      </c>
      <c r="P167" s="11"/>
      <c r="Q167" s="11"/>
      <c r="R167" s="11">
        <v>28</v>
      </c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>
        <v>92</v>
      </c>
      <c r="AD167" s="11"/>
      <c r="AE167" s="11"/>
      <c r="AF167" s="11"/>
      <c r="AG167" s="11"/>
      <c r="AH167" s="11"/>
      <c r="AI167" s="11"/>
      <c r="AJ167" s="11"/>
      <c r="AK167" s="11">
        <v>28</v>
      </c>
      <c r="AL167" s="11"/>
      <c r="AM167" s="11"/>
      <c r="AN167" s="11">
        <v>120</v>
      </c>
      <c r="AO167" s="11"/>
      <c r="AP167" s="11"/>
      <c r="AQ167" s="11"/>
      <c r="AR167" s="11"/>
      <c r="AS167" s="11"/>
      <c r="AT167" s="20" t="str">
        <f>HYPERLINK("http://www.openstreetmap.org/?mlat=34.2785&amp;mlon=44.563&amp;zoom=12#map=12/34.2785/44.563","Maplink1")</f>
        <v>Maplink1</v>
      </c>
      <c r="AU167" s="20" t="str">
        <f>HYPERLINK("https://www.google.iq/maps/search/+34.2785,44.563/@34.2785,44.563,14z?hl=en","Maplink2")</f>
        <v>Maplink2</v>
      </c>
      <c r="AV167" s="20" t="str">
        <f>HYPERLINK("http://www.bing.com/maps/?lvl=14&amp;sty=h&amp;cp=34.2785~44.563&amp;sp=point.34.2785_44.563","Maplink3")</f>
        <v>Maplink3</v>
      </c>
    </row>
    <row r="168" spans="1:48" x14ac:dyDescent="0.25">
      <c r="A168" s="9">
        <v>21162</v>
      </c>
      <c r="B168" s="10" t="s">
        <v>13</v>
      </c>
      <c r="C168" s="10" t="s">
        <v>338</v>
      </c>
      <c r="D168" s="10" t="s">
        <v>351</v>
      </c>
      <c r="E168" s="10" t="s">
        <v>352</v>
      </c>
      <c r="F168" s="10">
        <v>34.216579070000002</v>
      </c>
      <c r="G168" s="10">
        <v>44.468902389999997</v>
      </c>
      <c r="H168" s="11">
        <v>34</v>
      </c>
      <c r="I168" s="11">
        <v>204</v>
      </c>
      <c r="J168" s="11"/>
      <c r="K168" s="11"/>
      <c r="L168" s="11"/>
      <c r="M168" s="11"/>
      <c r="N168" s="11"/>
      <c r="O168" s="11"/>
      <c r="P168" s="11"/>
      <c r="Q168" s="11"/>
      <c r="R168" s="11">
        <v>34</v>
      </c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>
        <v>34</v>
      </c>
      <c r="AE168" s="11"/>
      <c r="AF168" s="11"/>
      <c r="AG168" s="11"/>
      <c r="AH168" s="11"/>
      <c r="AI168" s="11"/>
      <c r="AJ168" s="11"/>
      <c r="AK168" s="11"/>
      <c r="AL168" s="11"/>
      <c r="AM168" s="11"/>
      <c r="AN168" s="11">
        <v>34</v>
      </c>
      <c r="AO168" s="11"/>
      <c r="AP168" s="11"/>
      <c r="AQ168" s="11"/>
      <c r="AR168" s="11"/>
      <c r="AS168" s="11"/>
      <c r="AT168" s="20" t="str">
        <f>HYPERLINK("http://www.openstreetmap.org/?mlat=34.2166&amp;mlon=44.4689&amp;zoom=12#map=12/34.2166/44.4689","Maplink1")</f>
        <v>Maplink1</v>
      </c>
      <c r="AU168" s="20" t="str">
        <f>HYPERLINK("https://www.google.iq/maps/search/+34.2166,44.4689/@34.2166,44.4689,14z?hl=en","Maplink2")</f>
        <v>Maplink2</v>
      </c>
      <c r="AV168" s="20" t="str">
        <f>HYPERLINK("http://www.bing.com/maps/?lvl=14&amp;sty=h&amp;cp=34.2166~44.4689&amp;sp=point.34.2166_44.4689","Maplink3")</f>
        <v>Maplink3</v>
      </c>
    </row>
    <row r="169" spans="1:48" x14ac:dyDescent="0.25">
      <c r="A169" s="9">
        <v>28445</v>
      </c>
      <c r="B169" s="10" t="s">
        <v>13</v>
      </c>
      <c r="C169" s="10" t="s">
        <v>338</v>
      </c>
      <c r="D169" s="10" t="s">
        <v>353</v>
      </c>
      <c r="E169" s="10" t="s">
        <v>354</v>
      </c>
      <c r="F169" s="10">
        <v>34.274324479999997</v>
      </c>
      <c r="G169" s="10">
        <v>44.538236470000001</v>
      </c>
      <c r="H169" s="11">
        <v>838</v>
      </c>
      <c r="I169" s="11">
        <v>5028</v>
      </c>
      <c r="J169" s="11"/>
      <c r="K169" s="11"/>
      <c r="L169" s="11"/>
      <c r="M169" s="11"/>
      <c r="N169" s="11"/>
      <c r="O169" s="11">
        <v>577</v>
      </c>
      <c r="P169" s="11"/>
      <c r="Q169" s="11"/>
      <c r="R169" s="11">
        <v>261</v>
      </c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>
        <v>659</v>
      </c>
      <c r="AD169" s="11">
        <v>30</v>
      </c>
      <c r="AE169" s="11"/>
      <c r="AF169" s="11"/>
      <c r="AG169" s="11"/>
      <c r="AH169" s="11"/>
      <c r="AI169" s="11"/>
      <c r="AJ169" s="11"/>
      <c r="AK169" s="11">
        <v>149</v>
      </c>
      <c r="AL169" s="11"/>
      <c r="AM169" s="11"/>
      <c r="AN169" s="11">
        <v>838</v>
      </c>
      <c r="AO169" s="11"/>
      <c r="AP169" s="11"/>
      <c r="AQ169" s="11"/>
      <c r="AR169" s="11"/>
      <c r="AS169" s="11"/>
      <c r="AT169" s="20" t="str">
        <f>HYPERLINK("http://www.openstreetmap.org/?mlat=34.2743&amp;mlon=44.5382&amp;zoom=12#map=12/34.2743/44.5382","Maplink1")</f>
        <v>Maplink1</v>
      </c>
      <c r="AU169" s="20" t="str">
        <f>HYPERLINK("https://www.google.iq/maps/search/+34.2743,44.5382/@34.2743,44.5382,14z?hl=en","Maplink2")</f>
        <v>Maplink2</v>
      </c>
      <c r="AV169" s="20" t="str">
        <f>HYPERLINK("http://www.bing.com/maps/?lvl=14&amp;sty=h&amp;cp=34.2743~44.5382&amp;sp=point.34.2743_44.5382","Maplink3")</f>
        <v>Maplink3</v>
      </c>
    </row>
    <row r="170" spans="1:48" x14ac:dyDescent="0.25">
      <c r="A170" s="9">
        <v>27177</v>
      </c>
      <c r="B170" s="10" t="s">
        <v>13</v>
      </c>
      <c r="C170" s="10" t="s">
        <v>338</v>
      </c>
      <c r="D170" s="10" t="s">
        <v>355</v>
      </c>
      <c r="E170" s="10" t="s">
        <v>356</v>
      </c>
      <c r="F170" s="10">
        <v>34.090948081500002</v>
      </c>
      <c r="G170" s="10">
        <v>44.348268050800002</v>
      </c>
      <c r="H170" s="11">
        <v>42</v>
      </c>
      <c r="I170" s="11">
        <v>252</v>
      </c>
      <c r="J170" s="11"/>
      <c r="K170" s="11"/>
      <c r="L170" s="11"/>
      <c r="M170" s="11"/>
      <c r="N170" s="11"/>
      <c r="O170" s="11"/>
      <c r="P170" s="11"/>
      <c r="Q170" s="11"/>
      <c r="R170" s="11">
        <v>42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>
        <v>42</v>
      </c>
      <c r="AE170" s="11"/>
      <c r="AF170" s="11"/>
      <c r="AG170" s="11"/>
      <c r="AH170" s="11"/>
      <c r="AI170" s="11"/>
      <c r="AJ170" s="11"/>
      <c r="AK170" s="11"/>
      <c r="AL170" s="11"/>
      <c r="AM170" s="11"/>
      <c r="AN170" s="11">
        <v>42</v>
      </c>
      <c r="AO170" s="11"/>
      <c r="AP170" s="11"/>
      <c r="AQ170" s="11"/>
      <c r="AR170" s="11"/>
      <c r="AS170" s="11"/>
      <c r="AT170" s="20" t="str">
        <f>HYPERLINK("http://www.openstreetmap.org/?mlat=34.0909&amp;mlon=44.3483&amp;zoom=12#map=12/34.0909/44.3483","Maplink1")</f>
        <v>Maplink1</v>
      </c>
      <c r="AU170" s="20" t="str">
        <f>HYPERLINK("https://www.google.iq/maps/search/+34.0909,44.3483/@34.0909,44.3483,14z?hl=en","Maplink2")</f>
        <v>Maplink2</v>
      </c>
      <c r="AV170" s="20" t="str">
        <f>HYPERLINK("http://www.bing.com/maps/?lvl=14&amp;sty=h&amp;cp=34.0909~44.3483&amp;sp=point.34.0909_44.3483","Maplink3")</f>
        <v>Maplink3</v>
      </c>
    </row>
    <row r="171" spans="1:48" x14ac:dyDescent="0.25">
      <c r="A171" s="9">
        <v>21161</v>
      </c>
      <c r="B171" s="10" t="s">
        <v>13</v>
      </c>
      <c r="C171" s="10" t="s">
        <v>338</v>
      </c>
      <c r="D171" s="10" t="s">
        <v>357</v>
      </c>
      <c r="E171" s="10" t="s">
        <v>358</v>
      </c>
      <c r="F171" s="10">
        <v>34.219653668799999</v>
      </c>
      <c r="G171" s="10">
        <v>44.481016433400001</v>
      </c>
      <c r="H171" s="11">
        <v>125</v>
      </c>
      <c r="I171" s="11">
        <v>750</v>
      </c>
      <c r="J171" s="11"/>
      <c r="K171" s="11"/>
      <c r="L171" s="11"/>
      <c r="M171" s="11"/>
      <c r="N171" s="11"/>
      <c r="O171" s="11"/>
      <c r="P171" s="11"/>
      <c r="Q171" s="11"/>
      <c r="R171" s="11">
        <v>125</v>
      </c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>
        <v>125</v>
      </c>
      <c r="AE171" s="11"/>
      <c r="AF171" s="11"/>
      <c r="AG171" s="11"/>
      <c r="AH171" s="11"/>
      <c r="AI171" s="11"/>
      <c r="AJ171" s="11"/>
      <c r="AK171" s="11"/>
      <c r="AL171" s="11"/>
      <c r="AM171" s="11"/>
      <c r="AN171" s="11">
        <v>125</v>
      </c>
      <c r="AO171" s="11"/>
      <c r="AP171" s="11"/>
      <c r="AQ171" s="11"/>
      <c r="AR171" s="11"/>
      <c r="AS171" s="11"/>
      <c r="AT171" s="20" t="str">
        <f>HYPERLINK("http://www.openstreetmap.org/?mlat=34.2197&amp;mlon=44.481&amp;zoom=12#map=12/34.2197/44.481","Maplink1")</f>
        <v>Maplink1</v>
      </c>
      <c r="AU171" s="20" t="str">
        <f>HYPERLINK("https://www.google.iq/maps/search/+34.2197,44.481/@34.2197,44.481,14z?hl=en","Maplink2")</f>
        <v>Maplink2</v>
      </c>
      <c r="AV171" s="20" t="str">
        <f>HYPERLINK("http://www.bing.com/maps/?lvl=14&amp;sty=h&amp;cp=34.2197~44.481&amp;sp=point.34.2197_44.481","Maplink3")</f>
        <v>Maplink3</v>
      </c>
    </row>
    <row r="172" spans="1:48" x14ac:dyDescent="0.25">
      <c r="A172" s="9">
        <v>21223</v>
      </c>
      <c r="B172" s="10" t="s">
        <v>13</v>
      </c>
      <c r="C172" s="10" t="s">
        <v>338</v>
      </c>
      <c r="D172" s="10" t="s">
        <v>359</v>
      </c>
      <c r="E172" s="10" t="s">
        <v>360</v>
      </c>
      <c r="F172" s="10">
        <v>34.332530419999998</v>
      </c>
      <c r="G172" s="10">
        <v>44.558998269999996</v>
      </c>
      <c r="H172" s="11">
        <v>145</v>
      </c>
      <c r="I172" s="11">
        <v>870</v>
      </c>
      <c r="J172" s="11"/>
      <c r="K172" s="11"/>
      <c r="L172" s="11"/>
      <c r="M172" s="11"/>
      <c r="N172" s="11"/>
      <c r="O172" s="11">
        <v>140</v>
      </c>
      <c r="P172" s="11"/>
      <c r="Q172" s="11"/>
      <c r="R172" s="11">
        <v>5</v>
      </c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>
        <v>145</v>
      </c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>
        <v>145</v>
      </c>
      <c r="AO172" s="11"/>
      <c r="AP172" s="11"/>
      <c r="AQ172" s="11"/>
      <c r="AR172" s="11"/>
      <c r="AS172" s="11"/>
      <c r="AT172" s="20" t="str">
        <f>HYPERLINK("http://www.openstreetmap.org/?mlat=34.3325&amp;mlon=44.559&amp;zoom=12#map=12/34.3325/44.559","Maplink1")</f>
        <v>Maplink1</v>
      </c>
      <c r="AU172" s="20" t="str">
        <f>HYPERLINK("https://www.google.iq/maps/search/+34.3325,44.559/@34.3325,44.559,14z?hl=en","Maplink2")</f>
        <v>Maplink2</v>
      </c>
      <c r="AV172" s="20" t="str">
        <f>HYPERLINK("http://www.bing.com/maps/?lvl=14&amp;sty=h&amp;cp=34.3325~44.559&amp;sp=point.34.3325_44.559","Maplink3")</f>
        <v>Maplink3</v>
      </c>
    </row>
    <row r="173" spans="1:48" x14ac:dyDescent="0.25">
      <c r="A173" s="9">
        <v>25667</v>
      </c>
      <c r="B173" s="10" t="s">
        <v>13</v>
      </c>
      <c r="C173" s="10" t="s">
        <v>338</v>
      </c>
      <c r="D173" s="10" t="s">
        <v>1152</v>
      </c>
      <c r="E173" s="10" t="s">
        <v>393</v>
      </c>
      <c r="F173" s="10">
        <v>34.079797553699997</v>
      </c>
      <c r="G173" s="10">
        <v>44.882956991</v>
      </c>
      <c r="H173" s="11">
        <v>317</v>
      </c>
      <c r="I173" s="11">
        <v>1902</v>
      </c>
      <c r="J173" s="11"/>
      <c r="K173" s="11"/>
      <c r="L173" s="11"/>
      <c r="M173" s="11"/>
      <c r="N173" s="11"/>
      <c r="O173" s="11">
        <v>267</v>
      </c>
      <c r="P173" s="11"/>
      <c r="Q173" s="11"/>
      <c r="R173" s="11">
        <v>50</v>
      </c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>
        <v>188</v>
      </c>
      <c r="AD173" s="11"/>
      <c r="AE173" s="11"/>
      <c r="AF173" s="11"/>
      <c r="AG173" s="11"/>
      <c r="AH173" s="11"/>
      <c r="AI173" s="11"/>
      <c r="AJ173" s="11"/>
      <c r="AK173" s="11">
        <v>129</v>
      </c>
      <c r="AL173" s="11"/>
      <c r="AM173" s="11"/>
      <c r="AN173" s="11">
        <v>317</v>
      </c>
      <c r="AO173" s="11"/>
      <c r="AP173" s="11"/>
      <c r="AQ173" s="11"/>
      <c r="AR173" s="11"/>
      <c r="AS173" s="11"/>
      <c r="AT173" s="20" t="str">
        <f>HYPERLINK("http://www.openstreetmap.org/?mlat=34.0798&amp;mlon=44.883&amp;zoom=12#map=12/34.0798/44.883","Maplink1")</f>
        <v>Maplink1</v>
      </c>
      <c r="AU173" s="20" t="str">
        <f>HYPERLINK("https://www.google.iq/maps/search/+34.0798,44.883/@34.0798,44.883,14z?hl=en","Maplink2")</f>
        <v>Maplink2</v>
      </c>
      <c r="AV173" s="20" t="str">
        <f>HYPERLINK("http://www.bing.com/maps/?lvl=14&amp;sty=h&amp;cp=34.0798~44.883&amp;sp=point.34.0798_44.883","Maplink3")</f>
        <v>Maplink3</v>
      </c>
    </row>
    <row r="174" spans="1:48" x14ac:dyDescent="0.25">
      <c r="A174" s="9">
        <v>25676</v>
      </c>
      <c r="B174" s="10" t="s">
        <v>13</v>
      </c>
      <c r="C174" s="10" t="s">
        <v>338</v>
      </c>
      <c r="D174" s="10" t="s">
        <v>361</v>
      </c>
      <c r="E174" s="10" t="s">
        <v>362</v>
      </c>
      <c r="F174" s="10">
        <v>34.027248630000003</v>
      </c>
      <c r="G174" s="10">
        <v>44.867671039999998</v>
      </c>
      <c r="H174" s="11">
        <v>150</v>
      </c>
      <c r="I174" s="11">
        <v>900</v>
      </c>
      <c r="J174" s="11"/>
      <c r="K174" s="11"/>
      <c r="L174" s="11"/>
      <c r="M174" s="11"/>
      <c r="N174" s="11"/>
      <c r="O174" s="11">
        <v>78</v>
      </c>
      <c r="P174" s="11"/>
      <c r="Q174" s="11"/>
      <c r="R174" s="11">
        <v>50</v>
      </c>
      <c r="S174" s="11"/>
      <c r="T174" s="11"/>
      <c r="U174" s="11"/>
      <c r="V174" s="11"/>
      <c r="W174" s="11"/>
      <c r="X174" s="11"/>
      <c r="Y174" s="11">
        <v>22</v>
      </c>
      <c r="Z174" s="11"/>
      <c r="AA174" s="11"/>
      <c r="AB174" s="11"/>
      <c r="AC174" s="11">
        <v>150</v>
      </c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>
        <v>150</v>
      </c>
      <c r="AQ174" s="11"/>
      <c r="AR174" s="11"/>
      <c r="AS174" s="11"/>
      <c r="AT174" s="20" t="str">
        <f>HYPERLINK("http://www.openstreetmap.org/?mlat=34.0272&amp;mlon=44.8677&amp;zoom=12#map=12/34.0272/44.8677","Maplink1")</f>
        <v>Maplink1</v>
      </c>
      <c r="AU174" s="20" t="str">
        <f>HYPERLINK("https://www.google.iq/maps/search/+34.0272,44.8677/@34.0272,44.8677,14z?hl=en","Maplink2")</f>
        <v>Maplink2</v>
      </c>
      <c r="AV174" s="20" t="str">
        <f>HYPERLINK("http://www.bing.com/maps/?lvl=14&amp;sty=h&amp;cp=34.0272~44.8677&amp;sp=point.34.0272_44.8677","Maplink3")</f>
        <v>Maplink3</v>
      </c>
    </row>
    <row r="175" spans="1:48" x14ac:dyDescent="0.25">
      <c r="A175" s="9">
        <v>25806</v>
      </c>
      <c r="B175" s="10" t="s">
        <v>13</v>
      </c>
      <c r="C175" s="10" t="s">
        <v>338</v>
      </c>
      <c r="D175" s="10" t="s">
        <v>363</v>
      </c>
      <c r="E175" s="10" t="s">
        <v>364</v>
      </c>
      <c r="F175" s="10">
        <v>34.054877040000001</v>
      </c>
      <c r="G175" s="10">
        <v>44.886513569999998</v>
      </c>
      <c r="H175" s="11">
        <v>28</v>
      </c>
      <c r="I175" s="11">
        <v>168</v>
      </c>
      <c r="J175" s="11"/>
      <c r="K175" s="11"/>
      <c r="L175" s="11"/>
      <c r="M175" s="11"/>
      <c r="N175" s="11"/>
      <c r="O175" s="11">
        <v>28</v>
      </c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>
        <v>13</v>
      </c>
      <c r="AD175" s="11"/>
      <c r="AE175" s="11"/>
      <c r="AF175" s="11"/>
      <c r="AG175" s="11"/>
      <c r="AH175" s="11"/>
      <c r="AI175" s="11"/>
      <c r="AJ175" s="11"/>
      <c r="AK175" s="11">
        <v>15</v>
      </c>
      <c r="AL175" s="11"/>
      <c r="AM175" s="11"/>
      <c r="AN175" s="11">
        <v>28</v>
      </c>
      <c r="AO175" s="11"/>
      <c r="AP175" s="11"/>
      <c r="AQ175" s="11"/>
      <c r="AR175" s="11"/>
      <c r="AS175" s="11"/>
      <c r="AT175" s="20" t="str">
        <f>HYPERLINK("http://www.openstreetmap.org/?mlat=34.0549&amp;mlon=44.8865&amp;zoom=12#map=12/34.0549/44.8865","Maplink1")</f>
        <v>Maplink1</v>
      </c>
      <c r="AU175" s="20" t="str">
        <f>HYPERLINK("https://www.google.iq/maps/search/+34.0549,44.8865/@34.0549,44.8865,14z?hl=en","Maplink2")</f>
        <v>Maplink2</v>
      </c>
      <c r="AV175" s="20" t="str">
        <f>HYPERLINK("http://www.bing.com/maps/?lvl=14&amp;sty=h&amp;cp=34.0549~44.8865&amp;sp=point.34.0549_44.8865","Maplink3")</f>
        <v>Maplink3</v>
      </c>
    </row>
    <row r="176" spans="1:48" x14ac:dyDescent="0.25">
      <c r="A176" s="9">
        <v>25665</v>
      </c>
      <c r="B176" s="10" t="s">
        <v>13</v>
      </c>
      <c r="C176" s="10" t="s">
        <v>338</v>
      </c>
      <c r="D176" s="10" t="s">
        <v>365</v>
      </c>
      <c r="E176" s="10" t="s">
        <v>366</v>
      </c>
      <c r="F176" s="10">
        <v>34.036864340000001</v>
      </c>
      <c r="G176" s="10">
        <v>44.763504220000002</v>
      </c>
      <c r="H176" s="11">
        <v>75</v>
      </c>
      <c r="I176" s="11">
        <v>450</v>
      </c>
      <c r="J176" s="11"/>
      <c r="K176" s="11"/>
      <c r="L176" s="11"/>
      <c r="M176" s="11"/>
      <c r="N176" s="11"/>
      <c r="O176" s="11">
        <v>75</v>
      </c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>
        <v>75</v>
      </c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>
        <v>75</v>
      </c>
      <c r="AO176" s="11"/>
      <c r="AP176" s="11"/>
      <c r="AQ176" s="11"/>
      <c r="AR176" s="11"/>
      <c r="AS176" s="11"/>
      <c r="AT176" s="20" t="str">
        <f>HYPERLINK("http://www.openstreetmap.org/?mlat=34.0369&amp;mlon=44.7635&amp;zoom=12#map=12/34.0369/44.7635","Maplink1")</f>
        <v>Maplink1</v>
      </c>
      <c r="AU176" s="20" t="str">
        <f>HYPERLINK("https://www.google.iq/maps/search/+34.0369,44.7635/@34.0369,44.7635,14z?hl=en","Maplink2")</f>
        <v>Maplink2</v>
      </c>
      <c r="AV176" s="20" t="str">
        <f>HYPERLINK("http://www.bing.com/maps/?lvl=14&amp;sty=h&amp;cp=34.0369~44.7635&amp;sp=point.34.0369_44.7635","Maplink3")</f>
        <v>Maplink3</v>
      </c>
    </row>
    <row r="177" spans="1:48" x14ac:dyDescent="0.25">
      <c r="A177" s="9">
        <v>25666</v>
      </c>
      <c r="B177" s="10" t="s">
        <v>13</v>
      </c>
      <c r="C177" s="10" t="s">
        <v>338</v>
      </c>
      <c r="D177" s="10" t="s">
        <v>1153</v>
      </c>
      <c r="E177" s="10" t="s">
        <v>394</v>
      </c>
      <c r="F177" s="10">
        <v>34.084614422800001</v>
      </c>
      <c r="G177" s="10">
        <v>44.775754945599999</v>
      </c>
      <c r="H177" s="11">
        <v>72</v>
      </c>
      <c r="I177" s="11">
        <v>432</v>
      </c>
      <c r="J177" s="11"/>
      <c r="K177" s="11"/>
      <c r="L177" s="11"/>
      <c r="M177" s="11"/>
      <c r="N177" s="11"/>
      <c r="O177" s="11">
        <v>72</v>
      </c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>
        <v>72</v>
      </c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>
        <v>72</v>
      </c>
      <c r="AQ177" s="11"/>
      <c r="AR177" s="11"/>
      <c r="AS177" s="11"/>
      <c r="AT177" s="20" t="str">
        <f>HYPERLINK("http://www.openstreetmap.org/?mlat=34.0846&amp;mlon=44.7758&amp;zoom=12#map=12/34.0846/44.7758","Maplink1")</f>
        <v>Maplink1</v>
      </c>
      <c r="AU177" s="20" t="str">
        <f>HYPERLINK("https://www.google.iq/maps/search/+34.0846,44.7758/@34.0846,44.7758,14z?hl=en","Maplink2")</f>
        <v>Maplink2</v>
      </c>
      <c r="AV177" s="20" t="str">
        <f>HYPERLINK("http://www.bing.com/maps/?lvl=14&amp;sty=h&amp;cp=34.0846~44.7758&amp;sp=point.34.0846_44.7758","Maplink3")</f>
        <v>Maplink3</v>
      </c>
    </row>
    <row r="178" spans="1:48" x14ac:dyDescent="0.25">
      <c r="A178" s="9">
        <v>27165</v>
      </c>
      <c r="B178" s="10" t="s">
        <v>13</v>
      </c>
      <c r="C178" s="10" t="s">
        <v>338</v>
      </c>
      <c r="D178" s="10" t="s">
        <v>367</v>
      </c>
      <c r="E178" s="10" t="s">
        <v>368</v>
      </c>
      <c r="F178" s="10">
        <v>34.210737369999997</v>
      </c>
      <c r="G178" s="10">
        <v>44.52663381</v>
      </c>
      <c r="H178" s="11">
        <v>17</v>
      </c>
      <c r="I178" s="11">
        <v>102</v>
      </c>
      <c r="J178" s="11"/>
      <c r="K178" s="11"/>
      <c r="L178" s="11"/>
      <c r="M178" s="11"/>
      <c r="N178" s="11"/>
      <c r="O178" s="11"/>
      <c r="P178" s="11"/>
      <c r="Q178" s="11"/>
      <c r="R178" s="11">
        <v>17</v>
      </c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>
        <v>17</v>
      </c>
      <c r="AE178" s="11"/>
      <c r="AF178" s="11"/>
      <c r="AG178" s="11"/>
      <c r="AH178" s="11"/>
      <c r="AI178" s="11"/>
      <c r="AJ178" s="11"/>
      <c r="AK178" s="11"/>
      <c r="AL178" s="11"/>
      <c r="AM178" s="11"/>
      <c r="AN178" s="11">
        <v>17</v>
      </c>
      <c r="AO178" s="11"/>
      <c r="AP178" s="11"/>
      <c r="AQ178" s="11"/>
      <c r="AR178" s="11"/>
      <c r="AS178" s="11"/>
      <c r="AT178" s="20" t="str">
        <f>HYPERLINK("http://www.openstreetmap.org/?mlat=34.2107&amp;mlon=44.5266&amp;zoom=12#map=12/34.2107/44.5266","Maplink1")</f>
        <v>Maplink1</v>
      </c>
      <c r="AU178" s="20" t="str">
        <f>HYPERLINK("https://www.google.iq/maps/search/+34.2107,44.5266/@34.2107,44.5266,14z?hl=en","Maplink2")</f>
        <v>Maplink2</v>
      </c>
      <c r="AV178" s="20" t="str">
        <f>HYPERLINK("http://www.bing.com/maps/?lvl=14&amp;sty=h&amp;cp=34.2107~44.5266&amp;sp=point.34.2107_44.5266","Maplink3")</f>
        <v>Maplink3</v>
      </c>
    </row>
    <row r="179" spans="1:48" x14ac:dyDescent="0.25">
      <c r="A179" s="9">
        <v>27166</v>
      </c>
      <c r="B179" s="10" t="s">
        <v>13</v>
      </c>
      <c r="C179" s="10" t="s">
        <v>338</v>
      </c>
      <c r="D179" s="10" t="s">
        <v>369</v>
      </c>
      <c r="E179" s="10" t="s">
        <v>370</v>
      </c>
      <c r="F179" s="10">
        <v>34.1966137</v>
      </c>
      <c r="G179" s="10">
        <v>44.533133909999997</v>
      </c>
      <c r="H179" s="11">
        <v>22</v>
      </c>
      <c r="I179" s="11">
        <v>132</v>
      </c>
      <c r="J179" s="11"/>
      <c r="K179" s="11"/>
      <c r="L179" s="11"/>
      <c r="M179" s="11"/>
      <c r="N179" s="11"/>
      <c r="O179" s="11"/>
      <c r="P179" s="11"/>
      <c r="Q179" s="11"/>
      <c r="R179" s="11">
        <v>22</v>
      </c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>
        <v>22</v>
      </c>
      <c r="AE179" s="11"/>
      <c r="AF179" s="11"/>
      <c r="AG179" s="11"/>
      <c r="AH179" s="11"/>
      <c r="AI179" s="11"/>
      <c r="AJ179" s="11"/>
      <c r="AK179" s="11"/>
      <c r="AL179" s="11"/>
      <c r="AM179" s="11"/>
      <c r="AN179" s="11">
        <v>22</v>
      </c>
      <c r="AO179" s="11"/>
      <c r="AP179" s="11"/>
      <c r="AQ179" s="11"/>
      <c r="AR179" s="11"/>
      <c r="AS179" s="11"/>
      <c r="AT179" s="20" t="str">
        <f>HYPERLINK("http://www.openstreetmap.org/?mlat=34.1966&amp;mlon=44.5331&amp;zoom=12#map=12/34.1966/44.5331","Maplink1")</f>
        <v>Maplink1</v>
      </c>
      <c r="AU179" s="20" t="str">
        <f>HYPERLINK("https://www.google.iq/maps/search/+34.1966,44.5331/@34.1966,44.5331,14z?hl=en","Maplink2")</f>
        <v>Maplink2</v>
      </c>
      <c r="AV179" s="20" t="str">
        <f>HYPERLINK("http://www.bing.com/maps/?lvl=14&amp;sty=h&amp;cp=34.1966~44.5331&amp;sp=point.34.1966_44.5331","Maplink3")</f>
        <v>Maplink3</v>
      </c>
    </row>
    <row r="180" spans="1:48" x14ac:dyDescent="0.25">
      <c r="A180" s="9">
        <v>27181</v>
      </c>
      <c r="B180" s="10" t="s">
        <v>13</v>
      </c>
      <c r="C180" s="10" t="s">
        <v>338</v>
      </c>
      <c r="D180" s="10" t="s">
        <v>371</v>
      </c>
      <c r="E180" s="10" t="s">
        <v>372</v>
      </c>
      <c r="F180" s="10">
        <v>34.455403019999999</v>
      </c>
      <c r="G180" s="10">
        <v>44.492120329999999</v>
      </c>
      <c r="H180" s="11">
        <v>20</v>
      </c>
      <c r="I180" s="11">
        <v>120</v>
      </c>
      <c r="J180" s="11"/>
      <c r="K180" s="11"/>
      <c r="L180" s="11"/>
      <c r="M180" s="11"/>
      <c r="N180" s="11"/>
      <c r="O180" s="11"/>
      <c r="P180" s="11"/>
      <c r="Q180" s="11"/>
      <c r="R180" s="11">
        <v>20</v>
      </c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>
        <v>20</v>
      </c>
      <c r="AE180" s="11"/>
      <c r="AF180" s="11"/>
      <c r="AG180" s="11"/>
      <c r="AH180" s="11"/>
      <c r="AI180" s="11"/>
      <c r="AJ180" s="11"/>
      <c r="AK180" s="11"/>
      <c r="AL180" s="11"/>
      <c r="AM180" s="11"/>
      <c r="AN180" s="11">
        <v>20</v>
      </c>
      <c r="AO180" s="11"/>
      <c r="AP180" s="11"/>
      <c r="AQ180" s="11"/>
      <c r="AR180" s="11"/>
      <c r="AS180" s="11"/>
      <c r="AT180" s="20" t="str">
        <f>HYPERLINK("http://www.openstreetmap.org/?mlat=34.4554&amp;mlon=44.4921&amp;zoom=12#map=12/34.4554/44.4921","Maplink1")</f>
        <v>Maplink1</v>
      </c>
      <c r="AU180" s="20" t="str">
        <f>HYPERLINK("https://www.google.iq/maps/search/+34.4554,44.4921/@34.4554,44.4921,14z?hl=en","Maplink2")</f>
        <v>Maplink2</v>
      </c>
      <c r="AV180" s="20" t="str">
        <f>HYPERLINK("http://www.bing.com/maps/?lvl=14&amp;sty=h&amp;cp=34.4554~44.4921&amp;sp=point.34.4554_44.4921","Maplink3")</f>
        <v>Maplink3</v>
      </c>
    </row>
    <row r="181" spans="1:48" x14ac:dyDescent="0.25">
      <c r="A181" s="9">
        <v>26057</v>
      </c>
      <c r="B181" s="10" t="s">
        <v>13</v>
      </c>
      <c r="C181" s="10" t="s">
        <v>338</v>
      </c>
      <c r="D181" s="10" t="s">
        <v>1154</v>
      </c>
      <c r="E181" s="10" t="s">
        <v>373</v>
      </c>
      <c r="F181" s="10">
        <v>34.079245159999999</v>
      </c>
      <c r="G181" s="10">
        <v>44.863570979999999</v>
      </c>
      <c r="H181" s="11">
        <v>37</v>
      </c>
      <c r="I181" s="11">
        <v>222</v>
      </c>
      <c r="J181" s="11"/>
      <c r="K181" s="11"/>
      <c r="L181" s="11"/>
      <c r="M181" s="11"/>
      <c r="N181" s="11"/>
      <c r="O181" s="11">
        <v>37</v>
      </c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>
        <v>37</v>
      </c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>
        <v>37</v>
      </c>
      <c r="AO181" s="11"/>
      <c r="AP181" s="11"/>
      <c r="AQ181" s="11"/>
      <c r="AR181" s="11"/>
      <c r="AS181" s="11"/>
      <c r="AT181" s="20" t="str">
        <f>HYPERLINK("http://www.openstreetmap.org/?mlat=34.0792&amp;mlon=44.8636&amp;zoom=12#map=12/34.0792/44.8636","Maplink1")</f>
        <v>Maplink1</v>
      </c>
      <c r="AU181" s="20" t="str">
        <f>HYPERLINK("https://www.google.iq/maps/search/+34.0792,44.8636/@34.0792,44.8636,14z?hl=en","Maplink2")</f>
        <v>Maplink2</v>
      </c>
      <c r="AV181" s="20" t="str">
        <f>HYPERLINK("http://www.bing.com/maps/?lvl=14&amp;sty=h&amp;cp=34.0792~44.8636&amp;sp=point.34.0792_44.8636","Maplink3")</f>
        <v>Maplink3</v>
      </c>
    </row>
    <row r="182" spans="1:48" x14ac:dyDescent="0.25">
      <c r="A182" s="9">
        <v>25661</v>
      </c>
      <c r="B182" s="10" t="s">
        <v>13</v>
      </c>
      <c r="C182" s="10" t="s">
        <v>338</v>
      </c>
      <c r="D182" s="10" t="s">
        <v>1155</v>
      </c>
      <c r="E182" s="10" t="s">
        <v>395</v>
      </c>
      <c r="F182" s="10">
        <v>34.085930480000002</v>
      </c>
      <c r="G182" s="10">
        <v>44.92841069</v>
      </c>
      <c r="H182" s="11">
        <v>230</v>
      </c>
      <c r="I182" s="11">
        <v>1380</v>
      </c>
      <c r="J182" s="11"/>
      <c r="K182" s="11"/>
      <c r="L182" s="11"/>
      <c r="M182" s="11"/>
      <c r="N182" s="11"/>
      <c r="O182" s="11">
        <v>230</v>
      </c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>
        <v>90</v>
      </c>
      <c r="AD182" s="11"/>
      <c r="AE182" s="11"/>
      <c r="AF182" s="11"/>
      <c r="AG182" s="11"/>
      <c r="AH182" s="11"/>
      <c r="AI182" s="11"/>
      <c r="AJ182" s="11"/>
      <c r="AK182" s="11">
        <v>140</v>
      </c>
      <c r="AL182" s="11"/>
      <c r="AM182" s="11"/>
      <c r="AN182" s="11"/>
      <c r="AO182" s="11"/>
      <c r="AP182" s="11">
        <v>230</v>
      </c>
      <c r="AQ182" s="11"/>
      <c r="AR182" s="11"/>
      <c r="AS182" s="11"/>
      <c r="AT182" s="20" t="str">
        <f>HYPERLINK("http://www.openstreetmap.org/?mlat=34.0859&amp;mlon=44.9284&amp;zoom=12#map=12/34.0859/44.9284","Maplink1")</f>
        <v>Maplink1</v>
      </c>
      <c r="AU182" s="20" t="str">
        <f>HYPERLINK("https://www.google.iq/maps/search/+34.0859,44.9284/@34.0859,44.9284,14z?hl=en","Maplink2")</f>
        <v>Maplink2</v>
      </c>
      <c r="AV182" s="20" t="str">
        <f>HYPERLINK("http://www.bing.com/maps/?lvl=14&amp;sty=h&amp;cp=34.0859~44.9284&amp;sp=point.34.0859_44.9284","Maplink3")</f>
        <v>Maplink3</v>
      </c>
    </row>
    <row r="183" spans="1:48" x14ac:dyDescent="0.25">
      <c r="A183" s="9">
        <v>27158</v>
      </c>
      <c r="B183" s="10" t="s">
        <v>13</v>
      </c>
      <c r="C183" s="10" t="s">
        <v>338</v>
      </c>
      <c r="D183" s="10" t="s">
        <v>374</v>
      </c>
      <c r="E183" s="10" t="s">
        <v>375</v>
      </c>
      <c r="F183" s="10">
        <v>34.412782620000002</v>
      </c>
      <c r="G183" s="10">
        <v>44.596434019999997</v>
      </c>
      <c r="H183" s="11">
        <v>75</v>
      </c>
      <c r="I183" s="11">
        <v>450</v>
      </c>
      <c r="J183" s="11"/>
      <c r="K183" s="11"/>
      <c r="L183" s="11"/>
      <c r="M183" s="11"/>
      <c r="N183" s="11"/>
      <c r="O183" s="11"/>
      <c r="P183" s="11"/>
      <c r="Q183" s="11"/>
      <c r="R183" s="11">
        <v>75</v>
      </c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>
        <v>75</v>
      </c>
      <c r="AE183" s="11"/>
      <c r="AF183" s="11"/>
      <c r="AG183" s="11"/>
      <c r="AH183" s="11"/>
      <c r="AI183" s="11"/>
      <c r="AJ183" s="11"/>
      <c r="AK183" s="11"/>
      <c r="AL183" s="11"/>
      <c r="AM183" s="11"/>
      <c r="AN183" s="11">
        <v>75</v>
      </c>
      <c r="AO183" s="11"/>
      <c r="AP183" s="11"/>
      <c r="AQ183" s="11"/>
      <c r="AR183" s="11"/>
      <c r="AS183" s="11"/>
      <c r="AT183" s="20" t="str">
        <f>HYPERLINK("http://www.openstreetmap.org/?mlat=34.4128&amp;mlon=44.5964&amp;zoom=12#map=12/34.4128/44.5964","Maplink1")</f>
        <v>Maplink1</v>
      </c>
      <c r="AU183" s="20" t="str">
        <f>HYPERLINK("https://www.google.iq/maps/search/+34.4128,44.5964/@34.4128,44.5964,14z?hl=en","Maplink2")</f>
        <v>Maplink2</v>
      </c>
      <c r="AV183" s="20" t="str">
        <f>HYPERLINK("http://www.bing.com/maps/?lvl=14&amp;sty=h&amp;cp=34.4128~44.5964&amp;sp=point.34.4128_44.5964","Maplink3")</f>
        <v>Maplink3</v>
      </c>
    </row>
    <row r="184" spans="1:48" x14ac:dyDescent="0.25">
      <c r="A184" s="9">
        <v>27159</v>
      </c>
      <c r="B184" s="10" t="s">
        <v>13</v>
      </c>
      <c r="C184" s="10" t="s">
        <v>338</v>
      </c>
      <c r="D184" s="10" t="s">
        <v>376</v>
      </c>
      <c r="E184" s="10" t="s">
        <v>377</v>
      </c>
      <c r="F184" s="10">
        <v>34.417382330000002</v>
      </c>
      <c r="G184" s="10">
        <v>44.584945679999997</v>
      </c>
      <c r="H184" s="11">
        <v>35</v>
      </c>
      <c r="I184" s="11">
        <v>210</v>
      </c>
      <c r="J184" s="11"/>
      <c r="K184" s="11"/>
      <c r="L184" s="11"/>
      <c r="M184" s="11"/>
      <c r="N184" s="11"/>
      <c r="O184" s="11"/>
      <c r="P184" s="11"/>
      <c r="Q184" s="11"/>
      <c r="R184" s="11">
        <v>35</v>
      </c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>
        <v>35</v>
      </c>
      <c r="AE184" s="11"/>
      <c r="AF184" s="11"/>
      <c r="AG184" s="11"/>
      <c r="AH184" s="11"/>
      <c r="AI184" s="11"/>
      <c r="AJ184" s="11"/>
      <c r="AK184" s="11"/>
      <c r="AL184" s="11"/>
      <c r="AM184" s="11"/>
      <c r="AN184" s="11">
        <v>35</v>
      </c>
      <c r="AO184" s="11"/>
      <c r="AP184" s="11"/>
      <c r="AQ184" s="11"/>
      <c r="AR184" s="11"/>
      <c r="AS184" s="11"/>
      <c r="AT184" s="20" t="str">
        <f>HYPERLINK("http://www.openstreetmap.org/?mlat=34.4174&amp;mlon=44.5849&amp;zoom=12#map=12/34.4174/44.5849","Maplink1")</f>
        <v>Maplink1</v>
      </c>
      <c r="AU184" s="20" t="str">
        <f>HYPERLINK("https://www.google.iq/maps/search/+34.4174,44.5849/@34.4174,44.5849,14z?hl=en","Maplink2")</f>
        <v>Maplink2</v>
      </c>
      <c r="AV184" s="20" t="str">
        <f>HYPERLINK("http://www.bing.com/maps/?lvl=14&amp;sty=h&amp;cp=34.4174~44.5849&amp;sp=point.34.4174_44.5849","Maplink3")</f>
        <v>Maplink3</v>
      </c>
    </row>
    <row r="185" spans="1:48" x14ac:dyDescent="0.25">
      <c r="A185" s="9">
        <v>11204</v>
      </c>
      <c r="B185" s="10" t="s">
        <v>13</v>
      </c>
      <c r="C185" s="10" t="s">
        <v>338</v>
      </c>
      <c r="D185" s="10" t="s">
        <v>378</v>
      </c>
      <c r="E185" s="10" t="s">
        <v>379</v>
      </c>
      <c r="F185" s="10">
        <v>34.268907679999998</v>
      </c>
      <c r="G185" s="10">
        <v>44.537397599999998</v>
      </c>
      <c r="H185" s="11">
        <v>72</v>
      </c>
      <c r="I185" s="11">
        <v>432</v>
      </c>
      <c r="J185" s="11"/>
      <c r="K185" s="11"/>
      <c r="L185" s="11"/>
      <c r="M185" s="11"/>
      <c r="N185" s="11"/>
      <c r="O185" s="11">
        <v>28</v>
      </c>
      <c r="P185" s="11"/>
      <c r="Q185" s="11"/>
      <c r="R185" s="11">
        <v>42</v>
      </c>
      <c r="S185" s="11"/>
      <c r="T185" s="11"/>
      <c r="U185" s="11"/>
      <c r="V185" s="11"/>
      <c r="W185" s="11"/>
      <c r="X185" s="11"/>
      <c r="Y185" s="11">
        <v>2</v>
      </c>
      <c r="Z185" s="11"/>
      <c r="AA185" s="11"/>
      <c r="AB185" s="11"/>
      <c r="AC185" s="11">
        <v>72</v>
      </c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>
        <v>72</v>
      </c>
      <c r="AO185" s="11"/>
      <c r="AP185" s="11"/>
      <c r="AQ185" s="11"/>
      <c r="AR185" s="11"/>
      <c r="AS185" s="11"/>
      <c r="AT185" s="20" t="str">
        <f>HYPERLINK("http://www.openstreetmap.org/?mlat=34.2689&amp;mlon=44.5374&amp;zoom=12#map=12/34.2689/44.5374","Maplink1")</f>
        <v>Maplink1</v>
      </c>
      <c r="AU185" s="20" t="str">
        <f>HYPERLINK("https://www.google.iq/maps/search/+34.2689,44.5374/@34.2689,44.5374,14z?hl=en","Maplink2")</f>
        <v>Maplink2</v>
      </c>
      <c r="AV185" s="20" t="str">
        <f>HYPERLINK("http://www.bing.com/maps/?lvl=14&amp;sty=h&amp;cp=34.2689~44.5374&amp;sp=point.34.2689_44.5374","Maplink3")</f>
        <v>Maplink3</v>
      </c>
    </row>
    <row r="186" spans="1:48" x14ac:dyDescent="0.25">
      <c r="A186" s="9">
        <v>29562</v>
      </c>
      <c r="B186" s="10" t="s">
        <v>13</v>
      </c>
      <c r="C186" s="10" t="s">
        <v>338</v>
      </c>
      <c r="D186" s="10" t="s">
        <v>380</v>
      </c>
      <c r="E186" s="10" t="s">
        <v>381</v>
      </c>
      <c r="F186" s="10">
        <v>34.263737113200001</v>
      </c>
      <c r="G186" s="10">
        <v>44.531965591000002</v>
      </c>
      <c r="H186" s="11">
        <v>15</v>
      </c>
      <c r="I186" s="11">
        <v>90</v>
      </c>
      <c r="J186" s="11"/>
      <c r="K186" s="11"/>
      <c r="L186" s="11"/>
      <c r="M186" s="11"/>
      <c r="N186" s="11"/>
      <c r="O186" s="11">
        <v>15</v>
      </c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>
        <v>15</v>
      </c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>
        <v>15</v>
      </c>
      <c r="AO186" s="11"/>
      <c r="AP186" s="11"/>
      <c r="AQ186" s="11"/>
      <c r="AR186" s="11"/>
      <c r="AS186" s="11"/>
      <c r="AT186" s="20" t="str">
        <f>HYPERLINK("http://www.openstreetmap.org/?mlat=34.2637&amp;mlon=44.532&amp;zoom=12#map=12/34.2637/44.532","Maplink1")</f>
        <v>Maplink1</v>
      </c>
      <c r="AU186" s="20" t="str">
        <f>HYPERLINK("https://www.google.iq/maps/search/+34.2637,44.532/@34.2637,44.532,14z?hl=en","Maplink2")</f>
        <v>Maplink2</v>
      </c>
      <c r="AV186" s="20" t="str">
        <f>HYPERLINK("http://www.bing.com/maps/?lvl=14&amp;sty=h&amp;cp=34.2637~44.532&amp;sp=point.34.2637_44.532","Maplink3")</f>
        <v>Maplink3</v>
      </c>
    </row>
    <row r="187" spans="1:48" x14ac:dyDescent="0.25">
      <c r="A187" s="9">
        <v>26058</v>
      </c>
      <c r="B187" s="10" t="s">
        <v>13</v>
      </c>
      <c r="C187" s="10" t="s">
        <v>338</v>
      </c>
      <c r="D187" s="10" t="s">
        <v>1156</v>
      </c>
      <c r="E187" s="10" t="s">
        <v>232</v>
      </c>
      <c r="F187" s="10">
        <v>34.067715870000001</v>
      </c>
      <c r="G187" s="10">
        <v>44.865601130000002</v>
      </c>
      <c r="H187" s="11">
        <v>271</v>
      </c>
      <c r="I187" s="11">
        <v>1626</v>
      </c>
      <c r="J187" s="11"/>
      <c r="K187" s="11"/>
      <c r="L187" s="11"/>
      <c r="M187" s="11"/>
      <c r="N187" s="11"/>
      <c r="O187" s="11">
        <v>244</v>
      </c>
      <c r="P187" s="11"/>
      <c r="Q187" s="11"/>
      <c r="R187" s="11">
        <v>17</v>
      </c>
      <c r="S187" s="11"/>
      <c r="T187" s="11"/>
      <c r="U187" s="11"/>
      <c r="V187" s="11"/>
      <c r="W187" s="11"/>
      <c r="X187" s="11"/>
      <c r="Y187" s="11">
        <v>10</v>
      </c>
      <c r="Z187" s="11"/>
      <c r="AA187" s="11"/>
      <c r="AB187" s="11"/>
      <c r="AC187" s="11">
        <v>271</v>
      </c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>
        <v>271</v>
      </c>
      <c r="AO187" s="11"/>
      <c r="AP187" s="11"/>
      <c r="AQ187" s="11"/>
      <c r="AR187" s="11"/>
      <c r="AS187" s="11"/>
      <c r="AT187" s="20" t="str">
        <f>HYPERLINK("http://www.openstreetmap.org/?mlat=34.0677&amp;mlon=44.8656&amp;zoom=12#map=12/34.0677/44.8656","Maplink1")</f>
        <v>Maplink1</v>
      </c>
      <c r="AU187" s="20" t="str">
        <f>HYPERLINK("https://www.google.iq/maps/search/+34.0677,44.8656/@34.0677,44.8656,14z?hl=en","Maplink2")</f>
        <v>Maplink2</v>
      </c>
      <c r="AV187" s="20" t="str">
        <f>HYPERLINK("http://www.bing.com/maps/?lvl=14&amp;sty=h&amp;cp=34.0677~44.8656&amp;sp=point.34.0677_44.8656","Maplink3")</f>
        <v>Maplink3</v>
      </c>
    </row>
    <row r="188" spans="1:48" x14ac:dyDescent="0.25">
      <c r="A188" s="9">
        <v>28463</v>
      </c>
      <c r="B188" s="10" t="s">
        <v>13</v>
      </c>
      <c r="C188" s="10" t="s">
        <v>338</v>
      </c>
      <c r="D188" s="10" t="s">
        <v>382</v>
      </c>
      <c r="E188" s="10" t="s">
        <v>383</v>
      </c>
      <c r="F188" s="10">
        <v>34.245628029999999</v>
      </c>
      <c r="G188" s="10">
        <v>44.51616439</v>
      </c>
      <c r="H188" s="11">
        <v>84</v>
      </c>
      <c r="I188" s="11">
        <v>504</v>
      </c>
      <c r="J188" s="11"/>
      <c r="K188" s="11"/>
      <c r="L188" s="11"/>
      <c r="M188" s="11"/>
      <c r="N188" s="11"/>
      <c r="O188" s="11">
        <v>69</v>
      </c>
      <c r="P188" s="11"/>
      <c r="Q188" s="11"/>
      <c r="R188" s="11">
        <v>15</v>
      </c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>
        <v>84</v>
      </c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>
        <v>84</v>
      </c>
      <c r="AO188" s="11"/>
      <c r="AP188" s="11"/>
      <c r="AQ188" s="11"/>
      <c r="AR188" s="11"/>
      <c r="AS188" s="11"/>
      <c r="AT188" s="20" t="str">
        <f>HYPERLINK("http://www.openstreetmap.org/?mlat=34.2456&amp;mlon=44.5162&amp;zoom=12#map=12/34.2456/44.5162","Maplink1")</f>
        <v>Maplink1</v>
      </c>
      <c r="AU188" s="20" t="str">
        <f>HYPERLINK("https://www.google.iq/maps/search/+34.2456,44.5162/@34.2456,44.5162,14z?hl=en","Maplink2")</f>
        <v>Maplink2</v>
      </c>
      <c r="AV188" s="20" t="str">
        <f>HYPERLINK("http://www.bing.com/maps/?lvl=14&amp;sty=h&amp;cp=34.2456~44.5162&amp;sp=point.34.2456_44.5162","Maplink3")</f>
        <v>Maplink3</v>
      </c>
    </row>
    <row r="189" spans="1:48" x14ac:dyDescent="0.25">
      <c r="A189" s="9">
        <v>28462</v>
      </c>
      <c r="B189" s="10" t="s">
        <v>13</v>
      </c>
      <c r="C189" s="10" t="s">
        <v>338</v>
      </c>
      <c r="D189" s="10" t="s">
        <v>384</v>
      </c>
      <c r="E189" s="10" t="s">
        <v>385</v>
      </c>
      <c r="F189" s="10">
        <v>34.235486340000001</v>
      </c>
      <c r="G189" s="10">
        <v>44.51758092</v>
      </c>
      <c r="H189" s="11">
        <v>110</v>
      </c>
      <c r="I189" s="11">
        <v>660</v>
      </c>
      <c r="J189" s="11"/>
      <c r="K189" s="11"/>
      <c r="L189" s="11"/>
      <c r="M189" s="11"/>
      <c r="N189" s="11"/>
      <c r="O189" s="11">
        <v>85</v>
      </c>
      <c r="P189" s="11"/>
      <c r="Q189" s="11"/>
      <c r="R189" s="11">
        <v>25</v>
      </c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>
        <v>110</v>
      </c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>
        <v>110</v>
      </c>
      <c r="AO189" s="11"/>
      <c r="AP189" s="11"/>
      <c r="AQ189" s="11"/>
      <c r="AR189" s="11"/>
      <c r="AS189" s="11"/>
      <c r="AT189" s="20" t="str">
        <f>HYPERLINK("http://www.openstreetmap.org/?mlat=34.2355&amp;mlon=44.5176&amp;zoom=12#map=12/34.2355/44.5176","Maplink1")</f>
        <v>Maplink1</v>
      </c>
      <c r="AU189" s="20" t="str">
        <f>HYPERLINK("https://www.google.iq/maps/search/+34.2355,44.5176/@34.2355,44.5176,14z?hl=en","Maplink2")</f>
        <v>Maplink2</v>
      </c>
      <c r="AV189" s="20" t="str">
        <f>HYPERLINK("http://www.bing.com/maps/?lvl=14&amp;sty=h&amp;cp=34.2355~44.5176&amp;sp=point.34.2355_44.5176","Maplink3")</f>
        <v>Maplink3</v>
      </c>
    </row>
    <row r="190" spans="1:48" x14ac:dyDescent="0.25">
      <c r="A190" s="9">
        <v>27178</v>
      </c>
      <c r="B190" s="10" t="s">
        <v>13</v>
      </c>
      <c r="C190" s="10" t="s">
        <v>338</v>
      </c>
      <c r="D190" s="10" t="s">
        <v>386</v>
      </c>
      <c r="E190" s="10" t="s">
        <v>387</v>
      </c>
      <c r="F190" s="10">
        <v>34.035578684100003</v>
      </c>
      <c r="G190" s="10">
        <v>44.323432609599998</v>
      </c>
      <c r="H190" s="11">
        <v>30</v>
      </c>
      <c r="I190" s="11">
        <v>180</v>
      </c>
      <c r="J190" s="11"/>
      <c r="K190" s="11"/>
      <c r="L190" s="11"/>
      <c r="M190" s="11"/>
      <c r="N190" s="11"/>
      <c r="O190" s="11"/>
      <c r="P190" s="11"/>
      <c r="Q190" s="11"/>
      <c r="R190" s="11">
        <v>30</v>
      </c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>
        <v>30</v>
      </c>
      <c r="AE190" s="11"/>
      <c r="AF190" s="11"/>
      <c r="AG190" s="11"/>
      <c r="AH190" s="11"/>
      <c r="AI190" s="11"/>
      <c r="AJ190" s="11"/>
      <c r="AK190" s="11"/>
      <c r="AL190" s="11"/>
      <c r="AM190" s="11"/>
      <c r="AN190" s="11">
        <v>30</v>
      </c>
      <c r="AO190" s="11"/>
      <c r="AP190" s="11"/>
      <c r="AQ190" s="11"/>
      <c r="AR190" s="11"/>
      <c r="AS190" s="11"/>
      <c r="AT190" s="20" t="str">
        <f>HYPERLINK("http://www.openstreetmap.org/?mlat=34.0356&amp;mlon=44.3234&amp;zoom=12#map=12/34.0356/44.3234","Maplink1")</f>
        <v>Maplink1</v>
      </c>
      <c r="AU190" s="20" t="str">
        <f>HYPERLINK("https://www.google.iq/maps/search/+34.0356,44.3234/@34.0356,44.3234,14z?hl=en","Maplink2")</f>
        <v>Maplink2</v>
      </c>
      <c r="AV190" s="20" t="str">
        <f>HYPERLINK("http://www.bing.com/maps/?lvl=14&amp;sty=h&amp;cp=34.0356~44.3234&amp;sp=point.34.0356_44.3234","Maplink3")</f>
        <v>Maplink3</v>
      </c>
    </row>
    <row r="191" spans="1:48" x14ac:dyDescent="0.25">
      <c r="A191" s="9">
        <v>29563</v>
      </c>
      <c r="B191" s="10" t="s">
        <v>13</v>
      </c>
      <c r="C191" s="10" t="s">
        <v>338</v>
      </c>
      <c r="D191" s="10" t="s">
        <v>388</v>
      </c>
      <c r="E191" s="10" t="s">
        <v>389</v>
      </c>
      <c r="F191" s="10">
        <v>34.263275144600001</v>
      </c>
      <c r="G191" s="10">
        <v>44.531798455900002</v>
      </c>
      <c r="H191" s="11">
        <v>20</v>
      </c>
      <c r="I191" s="11">
        <v>120</v>
      </c>
      <c r="J191" s="11"/>
      <c r="K191" s="11"/>
      <c r="L191" s="11"/>
      <c r="M191" s="11"/>
      <c r="N191" s="11"/>
      <c r="O191" s="11">
        <v>20</v>
      </c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>
        <v>20</v>
      </c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>
        <v>20</v>
      </c>
      <c r="AO191" s="11"/>
      <c r="AP191" s="11"/>
      <c r="AQ191" s="11"/>
      <c r="AR191" s="11"/>
      <c r="AS191" s="11"/>
      <c r="AT191" s="20" t="str">
        <f>HYPERLINK("http://www.openstreetmap.org/?mlat=34.2633&amp;mlon=44.5318&amp;zoom=12#map=12/34.2633/44.5318","Maplink1")</f>
        <v>Maplink1</v>
      </c>
      <c r="AU191" s="20" t="str">
        <f>HYPERLINK("https://www.google.iq/maps/search/+34.2633,44.5318/@34.2633,44.5318,14z?hl=en","Maplink2")</f>
        <v>Maplink2</v>
      </c>
      <c r="AV191" s="20" t="str">
        <f>HYPERLINK("http://www.bing.com/maps/?lvl=14&amp;sty=h&amp;cp=34.2633~44.5318&amp;sp=point.34.2633_44.5318","Maplink3")</f>
        <v>Maplink3</v>
      </c>
    </row>
    <row r="192" spans="1:48" x14ac:dyDescent="0.25">
      <c r="A192" s="9">
        <v>28467</v>
      </c>
      <c r="B192" s="10" t="s">
        <v>13</v>
      </c>
      <c r="C192" s="10" t="s">
        <v>338</v>
      </c>
      <c r="D192" s="10" t="s">
        <v>390</v>
      </c>
      <c r="E192" s="10" t="s">
        <v>391</v>
      </c>
      <c r="F192" s="10">
        <v>34.337264009999998</v>
      </c>
      <c r="G192" s="10">
        <v>44.56171441</v>
      </c>
      <c r="H192" s="11">
        <v>75</v>
      </c>
      <c r="I192" s="11">
        <v>450</v>
      </c>
      <c r="J192" s="11"/>
      <c r="K192" s="11"/>
      <c r="L192" s="11"/>
      <c r="M192" s="11"/>
      <c r="N192" s="11"/>
      <c r="O192" s="11">
        <v>70</v>
      </c>
      <c r="P192" s="11"/>
      <c r="Q192" s="11"/>
      <c r="R192" s="11">
        <v>5</v>
      </c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>
        <v>75</v>
      </c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>
        <v>75</v>
      </c>
      <c r="AO192" s="11"/>
      <c r="AP192" s="11"/>
      <c r="AQ192" s="11"/>
      <c r="AR192" s="11"/>
      <c r="AS192" s="11"/>
      <c r="AT192" s="20" t="str">
        <f>HYPERLINK("http://www.openstreetmap.org/?mlat=34.3373&amp;mlon=44.5617&amp;zoom=12#map=12/34.3373/44.5617","Maplink1")</f>
        <v>Maplink1</v>
      </c>
      <c r="AU192" s="20" t="str">
        <f>HYPERLINK("https://www.google.iq/maps/search/+34.3373,44.5617/@34.3373,44.5617,14z?hl=en","Maplink2")</f>
        <v>Maplink2</v>
      </c>
      <c r="AV192" s="20" t="str">
        <f>HYPERLINK("http://www.bing.com/maps/?lvl=14&amp;sty=h&amp;cp=34.3373~44.5617&amp;sp=point.34.3373_44.5617","Maplink3")</f>
        <v>Maplink3</v>
      </c>
    </row>
    <row r="193" spans="1:48" x14ac:dyDescent="0.25">
      <c r="A193" s="9">
        <v>29576</v>
      </c>
      <c r="B193" s="10" t="s">
        <v>13</v>
      </c>
      <c r="C193" s="10" t="s">
        <v>338</v>
      </c>
      <c r="D193" s="10" t="s">
        <v>396</v>
      </c>
      <c r="E193" s="10" t="s">
        <v>397</v>
      </c>
      <c r="F193" s="10">
        <v>34.360770240000001</v>
      </c>
      <c r="G193" s="10">
        <v>44.557405070000002</v>
      </c>
      <c r="H193" s="11">
        <v>145</v>
      </c>
      <c r="I193" s="11">
        <v>870</v>
      </c>
      <c r="J193" s="11"/>
      <c r="K193" s="11"/>
      <c r="L193" s="11"/>
      <c r="M193" s="11"/>
      <c r="N193" s="11"/>
      <c r="O193" s="11"/>
      <c r="P193" s="11">
        <v>15</v>
      </c>
      <c r="Q193" s="11"/>
      <c r="R193" s="11">
        <v>105</v>
      </c>
      <c r="S193" s="11"/>
      <c r="T193" s="11"/>
      <c r="U193" s="11"/>
      <c r="V193" s="11"/>
      <c r="W193" s="11"/>
      <c r="X193" s="11"/>
      <c r="Y193" s="11">
        <v>25</v>
      </c>
      <c r="Z193" s="11"/>
      <c r="AA193" s="11"/>
      <c r="AB193" s="11"/>
      <c r="AC193" s="11">
        <v>145</v>
      </c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>
        <v>145</v>
      </c>
      <c r="AO193" s="11"/>
      <c r="AP193" s="11"/>
      <c r="AQ193" s="11"/>
      <c r="AR193" s="11"/>
      <c r="AS193" s="11"/>
      <c r="AT193" s="20" t="str">
        <f>HYPERLINK("http://www.openstreetmap.org/?mlat=34.3608&amp;mlon=44.5574&amp;zoom=12#map=12/34.3608/44.5574","Maplink1")</f>
        <v>Maplink1</v>
      </c>
      <c r="AU193" s="20" t="str">
        <f>HYPERLINK("https://www.google.iq/maps/search/+34.3608,44.5574/@34.3608,44.5574,14z?hl=en","Maplink2")</f>
        <v>Maplink2</v>
      </c>
      <c r="AV193" s="20" t="str">
        <f>HYPERLINK("http://www.bing.com/maps/?lvl=14&amp;sty=h&amp;cp=34.3608~44.5574&amp;sp=point.34.3608_44.5574","Maplink3")</f>
        <v>Maplink3</v>
      </c>
    </row>
    <row r="194" spans="1:48" x14ac:dyDescent="0.25">
      <c r="A194" s="9">
        <v>27164</v>
      </c>
      <c r="B194" s="10" t="s">
        <v>13</v>
      </c>
      <c r="C194" s="10" t="s">
        <v>338</v>
      </c>
      <c r="D194" s="10" t="s">
        <v>398</v>
      </c>
      <c r="E194" s="10" t="s">
        <v>399</v>
      </c>
      <c r="F194" s="10">
        <v>34.33645379</v>
      </c>
      <c r="G194" s="10">
        <v>44.638700579999998</v>
      </c>
      <c r="H194" s="11">
        <v>10</v>
      </c>
      <c r="I194" s="11">
        <v>60</v>
      </c>
      <c r="J194" s="11"/>
      <c r="K194" s="11"/>
      <c r="L194" s="11"/>
      <c r="M194" s="11"/>
      <c r="N194" s="11"/>
      <c r="O194" s="11"/>
      <c r="P194" s="11"/>
      <c r="Q194" s="11"/>
      <c r="R194" s="11">
        <v>10</v>
      </c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>
        <v>10</v>
      </c>
      <c r="AE194" s="11"/>
      <c r="AF194" s="11"/>
      <c r="AG194" s="11"/>
      <c r="AH194" s="11"/>
      <c r="AI194" s="11"/>
      <c r="AJ194" s="11"/>
      <c r="AK194" s="11"/>
      <c r="AL194" s="11"/>
      <c r="AM194" s="11"/>
      <c r="AN194" s="11">
        <v>10</v>
      </c>
      <c r="AO194" s="11"/>
      <c r="AP194" s="11"/>
      <c r="AQ194" s="11"/>
      <c r="AR194" s="11"/>
      <c r="AS194" s="11"/>
      <c r="AT194" s="20" t="str">
        <f>HYPERLINK("http://www.openstreetmap.org/?mlat=34.3365&amp;mlon=44.6387&amp;zoom=12#map=12/34.3365/44.6387","Maplink1")</f>
        <v>Maplink1</v>
      </c>
      <c r="AU194" s="20" t="str">
        <f>HYPERLINK("https://www.google.iq/maps/search/+34.3365,44.6387/@34.3365,44.6387,14z?hl=en","Maplink2")</f>
        <v>Maplink2</v>
      </c>
      <c r="AV194" s="20" t="str">
        <f>HYPERLINK("http://www.bing.com/maps/?lvl=14&amp;sty=h&amp;cp=34.3365~44.6387&amp;sp=point.34.3365_44.6387","Maplink3")</f>
        <v>Maplink3</v>
      </c>
    </row>
    <row r="195" spans="1:48" x14ac:dyDescent="0.25">
      <c r="A195" s="9">
        <v>27163</v>
      </c>
      <c r="B195" s="10" t="s">
        <v>13</v>
      </c>
      <c r="C195" s="10" t="s">
        <v>338</v>
      </c>
      <c r="D195" s="10" t="s">
        <v>400</v>
      </c>
      <c r="E195" s="10" t="s">
        <v>401</v>
      </c>
      <c r="F195" s="10">
        <v>34.364341939500001</v>
      </c>
      <c r="G195" s="10">
        <v>44.631110964699999</v>
      </c>
      <c r="H195" s="11">
        <v>8</v>
      </c>
      <c r="I195" s="11">
        <v>48</v>
      </c>
      <c r="J195" s="11"/>
      <c r="K195" s="11"/>
      <c r="L195" s="11"/>
      <c r="M195" s="11"/>
      <c r="N195" s="11"/>
      <c r="O195" s="11"/>
      <c r="P195" s="11"/>
      <c r="Q195" s="11"/>
      <c r="R195" s="11">
        <v>8</v>
      </c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>
        <v>8</v>
      </c>
      <c r="AE195" s="11"/>
      <c r="AF195" s="11"/>
      <c r="AG195" s="11"/>
      <c r="AH195" s="11"/>
      <c r="AI195" s="11"/>
      <c r="AJ195" s="11"/>
      <c r="AK195" s="11"/>
      <c r="AL195" s="11"/>
      <c r="AM195" s="11"/>
      <c r="AN195" s="11">
        <v>8</v>
      </c>
      <c r="AO195" s="11"/>
      <c r="AP195" s="11"/>
      <c r="AQ195" s="11"/>
      <c r="AR195" s="11"/>
      <c r="AS195" s="11"/>
      <c r="AT195" s="20" t="str">
        <f>HYPERLINK("http://www.openstreetmap.org/?mlat=34.3643&amp;mlon=44.6311&amp;zoom=12#map=12/34.3643/44.6311","Maplink1")</f>
        <v>Maplink1</v>
      </c>
      <c r="AU195" s="20" t="str">
        <f>HYPERLINK("https://www.google.iq/maps/search/+34.3643,44.6311/@34.3643,44.6311,14z?hl=en","Maplink2")</f>
        <v>Maplink2</v>
      </c>
      <c r="AV195" s="20" t="str">
        <f>HYPERLINK("http://www.bing.com/maps/?lvl=14&amp;sty=h&amp;cp=34.3643~44.6311&amp;sp=point.34.3643_44.6311","Maplink3")</f>
        <v>Maplink3</v>
      </c>
    </row>
    <row r="196" spans="1:48" x14ac:dyDescent="0.25">
      <c r="A196" s="9">
        <v>27173</v>
      </c>
      <c r="B196" s="10" t="s">
        <v>13</v>
      </c>
      <c r="C196" s="10" t="s">
        <v>338</v>
      </c>
      <c r="D196" s="10" t="s">
        <v>402</v>
      </c>
      <c r="E196" s="10" t="s">
        <v>403</v>
      </c>
      <c r="F196" s="10">
        <v>34.212885190000002</v>
      </c>
      <c r="G196" s="10">
        <v>44.508423899999997</v>
      </c>
      <c r="H196" s="11">
        <v>13</v>
      </c>
      <c r="I196" s="11">
        <v>78</v>
      </c>
      <c r="J196" s="11"/>
      <c r="K196" s="11"/>
      <c r="L196" s="11"/>
      <c r="M196" s="11"/>
      <c r="N196" s="11"/>
      <c r="O196" s="11"/>
      <c r="P196" s="11"/>
      <c r="Q196" s="11"/>
      <c r="R196" s="11">
        <v>13</v>
      </c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>
        <v>13</v>
      </c>
      <c r="AE196" s="11"/>
      <c r="AF196" s="11"/>
      <c r="AG196" s="11"/>
      <c r="AH196" s="11"/>
      <c r="AI196" s="11"/>
      <c r="AJ196" s="11"/>
      <c r="AK196" s="11"/>
      <c r="AL196" s="11"/>
      <c r="AM196" s="11"/>
      <c r="AN196" s="11">
        <v>13</v>
      </c>
      <c r="AO196" s="11"/>
      <c r="AP196" s="11"/>
      <c r="AQ196" s="11"/>
      <c r="AR196" s="11"/>
      <c r="AS196" s="11"/>
      <c r="AT196" s="20" t="str">
        <f>HYPERLINK("http://www.openstreetmap.org/?mlat=34.2129&amp;mlon=44.5084&amp;zoom=12#map=12/34.2129/44.5084","Maplink1")</f>
        <v>Maplink1</v>
      </c>
      <c r="AU196" s="20" t="str">
        <f>HYPERLINK("https://www.google.iq/maps/search/+34.2129,44.5084/@34.2129,44.5084,14z?hl=en","Maplink2")</f>
        <v>Maplink2</v>
      </c>
      <c r="AV196" s="20" t="str">
        <f>HYPERLINK("http://www.bing.com/maps/?lvl=14&amp;sty=h&amp;cp=34.2129~44.5084&amp;sp=point.34.2129_44.5084","Maplink3")</f>
        <v>Maplink3</v>
      </c>
    </row>
    <row r="197" spans="1:48" x14ac:dyDescent="0.25">
      <c r="A197" s="9">
        <v>29610</v>
      </c>
      <c r="B197" s="10" t="s">
        <v>13</v>
      </c>
      <c r="C197" s="10" t="s">
        <v>338</v>
      </c>
      <c r="D197" s="10" t="s">
        <v>404</v>
      </c>
      <c r="E197" s="10" t="s">
        <v>405</v>
      </c>
      <c r="F197" s="10">
        <v>34.500739099999997</v>
      </c>
      <c r="G197" s="10">
        <v>44.5484103</v>
      </c>
      <c r="H197" s="11">
        <v>92</v>
      </c>
      <c r="I197" s="11">
        <v>552</v>
      </c>
      <c r="J197" s="11"/>
      <c r="K197" s="11"/>
      <c r="L197" s="11"/>
      <c r="M197" s="11"/>
      <c r="N197" s="11"/>
      <c r="O197" s="11"/>
      <c r="P197" s="11"/>
      <c r="Q197" s="11"/>
      <c r="R197" s="11">
        <v>92</v>
      </c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>
        <v>92</v>
      </c>
      <c r="AM197" s="11"/>
      <c r="AN197" s="11">
        <v>92</v>
      </c>
      <c r="AO197" s="11"/>
      <c r="AP197" s="11"/>
      <c r="AQ197" s="11"/>
      <c r="AR197" s="11"/>
      <c r="AS197" s="11"/>
      <c r="AT197" s="20" t="str">
        <f>HYPERLINK("http://www.openstreetmap.org/?mlat=34.5007&amp;mlon=44.5484&amp;zoom=12#map=12/34.5007/44.5484","Maplink1")</f>
        <v>Maplink1</v>
      </c>
      <c r="AU197" s="20" t="str">
        <f>HYPERLINK("https://www.google.iq/maps/search/+34.5007,44.5484/@34.5007,44.5484,14z?hl=en","Maplink2")</f>
        <v>Maplink2</v>
      </c>
      <c r="AV197" s="20" t="str">
        <f>HYPERLINK("http://www.bing.com/maps/?lvl=14&amp;sty=h&amp;cp=34.5007~44.5484&amp;sp=point.34.5007_44.5484","Maplink3")</f>
        <v>Maplink3</v>
      </c>
    </row>
    <row r="198" spans="1:48" x14ac:dyDescent="0.25">
      <c r="A198" s="9">
        <v>27172</v>
      </c>
      <c r="B198" s="10" t="s">
        <v>13</v>
      </c>
      <c r="C198" s="10" t="s">
        <v>338</v>
      </c>
      <c r="D198" s="10" t="s">
        <v>406</v>
      </c>
      <c r="E198" s="10" t="s">
        <v>407</v>
      </c>
      <c r="F198" s="10">
        <v>34.093143752099998</v>
      </c>
      <c r="G198" s="10">
        <v>44.419593386199999</v>
      </c>
      <c r="H198" s="11">
        <v>15</v>
      </c>
      <c r="I198" s="11">
        <v>90</v>
      </c>
      <c r="J198" s="11"/>
      <c r="K198" s="11"/>
      <c r="L198" s="11"/>
      <c r="M198" s="11"/>
      <c r="N198" s="11"/>
      <c r="O198" s="11"/>
      <c r="P198" s="11"/>
      <c r="Q198" s="11"/>
      <c r="R198" s="11">
        <v>15</v>
      </c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>
        <v>15</v>
      </c>
      <c r="AE198" s="11"/>
      <c r="AF198" s="11"/>
      <c r="AG198" s="11"/>
      <c r="AH198" s="11"/>
      <c r="AI198" s="11"/>
      <c r="AJ198" s="11"/>
      <c r="AK198" s="11"/>
      <c r="AL198" s="11"/>
      <c r="AM198" s="11"/>
      <c r="AN198" s="11">
        <v>15</v>
      </c>
      <c r="AO198" s="11"/>
      <c r="AP198" s="11"/>
      <c r="AQ198" s="11"/>
      <c r="AR198" s="11"/>
      <c r="AS198" s="11"/>
      <c r="AT198" s="20" t="str">
        <f>HYPERLINK("http://www.openstreetmap.org/?mlat=34.0931&amp;mlon=44.4196&amp;zoom=12#map=12/34.0931/44.4196","Maplink1")</f>
        <v>Maplink1</v>
      </c>
      <c r="AU198" s="20" t="str">
        <f>HYPERLINK("https://www.google.iq/maps/search/+34.0931,44.4196/@34.0931,44.4196,14z?hl=en","Maplink2")</f>
        <v>Maplink2</v>
      </c>
      <c r="AV198" s="20" t="str">
        <f>HYPERLINK("http://www.bing.com/maps/?lvl=14&amp;sty=h&amp;cp=34.0931~44.4196&amp;sp=point.34.0931_44.4196","Maplink3")</f>
        <v>Maplink3</v>
      </c>
    </row>
    <row r="199" spans="1:48" x14ac:dyDescent="0.25">
      <c r="A199" s="9">
        <v>29616</v>
      </c>
      <c r="B199" s="10" t="s">
        <v>13</v>
      </c>
      <c r="C199" s="10" t="s">
        <v>338</v>
      </c>
      <c r="D199" s="10" t="s">
        <v>408</v>
      </c>
      <c r="E199" s="10" t="s">
        <v>409</v>
      </c>
      <c r="F199" s="10">
        <v>34.414540000000002</v>
      </c>
      <c r="G199" s="10">
        <v>44.593470000000003</v>
      </c>
      <c r="H199" s="11">
        <v>26</v>
      </c>
      <c r="I199" s="11">
        <v>156</v>
      </c>
      <c r="J199" s="11"/>
      <c r="K199" s="11"/>
      <c r="L199" s="11"/>
      <c r="M199" s="11"/>
      <c r="N199" s="11"/>
      <c r="O199" s="11"/>
      <c r="P199" s="11"/>
      <c r="Q199" s="11"/>
      <c r="R199" s="11">
        <v>26</v>
      </c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>
        <v>26</v>
      </c>
      <c r="AL199" s="11"/>
      <c r="AM199" s="11"/>
      <c r="AN199" s="11">
        <v>26</v>
      </c>
      <c r="AO199" s="11"/>
      <c r="AP199" s="11"/>
      <c r="AQ199" s="11"/>
      <c r="AR199" s="11"/>
      <c r="AS199" s="11"/>
      <c r="AT199" s="20" t="str">
        <f>HYPERLINK("http://www.openstreetmap.org/?mlat=34.4145&amp;mlon=44.5935&amp;zoom=12#map=12/34.4145/44.5935","Maplink1")</f>
        <v>Maplink1</v>
      </c>
      <c r="AU199" s="20" t="str">
        <f>HYPERLINK("https://www.google.iq/maps/search/+34.4145,44.5935/@34.4145,44.5935,14z?hl=en","Maplink2")</f>
        <v>Maplink2</v>
      </c>
      <c r="AV199" s="20" t="str">
        <f>HYPERLINK("http://www.bing.com/maps/?lvl=14&amp;sty=h&amp;cp=34.4145~44.5935&amp;sp=point.34.4145_44.5935","Maplink3")</f>
        <v>Maplink3</v>
      </c>
    </row>
    <row r="200" spans="1:48" x14ac:dyDescent="0.25">
      <c r="A200" s="9">
        <v>28466</v>
      </c>
      <c r="B200" s="10" t="s">
        <v>13</v>
      </c>
      <c r="C200" s="10" t="s">
        <v>338</v>
      </c>
      <c r="D200" s="10" t="s">
        <v>410</v>
      </c>
      <c r="E200" s="10" t="s">
        <v>411</v>
      </c>
      <c r="F200" s="10">
        <v>34.32839903</v>
      </c>
      <c r="G200" s="10">
        <v>44.541802250000003</v>
      </c>
      <c r="H200" s="11">
        <v>22</v>
      </c>
      <c r="I200" s="11">
        <v>132</v>
      </c>
      <c r="J200" s="11"/>
      <c r="K200" s="11"/>
      <c r="L200" s="11"/>
      <c r="M200" s="11"/>
      <c r="N200" s="11"/>
      <c r="O200" s="11">
        <v>22</v>
      </c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>
        <v>22</v>
      </c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>
        <v>22</v>
      </c>
      <c r="AO200" s="11"/>
      <c r="AP200" s="11"/>
      <c r="AQ200" s="11"/>
      <c r="AR200" s="11"/>
      <c r="AS200" s="11"/>
      <c r="AT200" s="20" t="str">
        <f>HYPERLINK("http://www.openstreetmap.org/?mlat=34.3284&amp;mlon=44.5418&amp;zoom=12#map=12/34.3284/44.5418","Maplink1")</f>
        <v>Maplink1</v>
      </c>
      <c r="AU200" s="20" t="str">
        <f>HYPERLINK("https://www.google.iq/maps/search/+34.3284,44.5418/@34.3284,44.5418,14z?hl=en","Maplink2")</f>
        <v>Maplink2</v>
      </c>
      <c r="AV200" s="20" t="str">
        <f>HYPERLINK("http://www.bing.com/maps/?lvl=14&amp;sty=h&amp;cp=34.3284~44.5418&amp;sp=point.34.3284_44.5418","Maplink3")</f>
        <v>Maplink3</v>
      </c>
    </row>
    <row r="201" spans="1:48" x14ac:dyDescent="0.25">
      <c r="A201" s="9">
        <v>28468</v>
      </c>
      <c r="B201" s="10" t="s">
        <v>13</v>
      </c>
      <c r="C201" s="10" t="s">
        <v>338</v>
      </c>
      <c r="D201" s="10" t="s">
        <v>412</v>
      </c>
      <c r="E201" s="10" t="s">
        <v>413</v>
      </c>
      <c r="F201" s="10">
        <v>34.280336570000003</v>
      </c>
      <c r="G201" s="10">
        <v>44.534062290000001</v>
      </c>
      <c r="H201" s="11">
        <v>31</v>
      </c>
      <c r="I201" s="11">
        <v>186</v>
      </c>
      <c r="J201" s="11"/>
      <c r="K201" s="11"/>
      <c r="L201" s="11"/>
      <c r="M201" s="11"/>
      <c r="N201" s="11"/>
      <c r="O201" s="11">
        <v>31</v>
      </c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>
        <v>31</v>
      </c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>
        <v>31</v>
      </c>
      <c r="AO201" s="11"/>
      <c r="AP201" s="11"/>
      <c r="AQ201" s="11"/>
      <c r="AR201" s="11"/>
      <c r="AS201" s="11"/>
      <c r="AT201" s="20" t="str">
        <f>HYPERLINK("http://www.openstreetmap.org/?mlat=34.2803&amp;mlon=44.5341&amp;zoom=12#map=12/34.2803/44.5341","Maplink1")</f>
        <v>Maplink1</v>
      </c>
      <c r="AU201" s="20" t="str">
        <f>HYPERLINK("https://www.google.iq/maps/search/+34.2803,44.5341/@34.2803,44.5341,14z?hl=en","Maplink2")</f>
        <v>Maplink2</v>
      </c>
      <c r="AV201" s="20" t="str">
        <f>HYPERLINK("http://www.bing.com/maps/?lvl=14&amp;sty=h&amp;cp=34.2803~44.5341&amp;sp=point.34.2803_44.5341","Maplink3")</f>
        <v>Maplink3</v>
      </c>
    </row>
    <row r="202" spans="1:48" x14ac:dyDescent="0.25">
      <c r="A202" s="9">
        <v>28464</v>
      </c>
      <c r="B202" s="10" t="s">
        <v>13</v>
      </c>
      <c r="C202" s="10" t="s">
        <v>338</v>
      </c>
      <c r="D202" s="10" t="s">
        <v>414</v>
      </c>
      <c r="E202" s="10" t="s">
        <v>415</v>
      </c>
      <c r="F202" s="10">
        <v>34.242244960000001</v>
      </c>
      <c r="G202" s="10">
        <v>44.519084300000003</v>
      </c>
      <c r="H202" s="11">
        <v>38</v>
      </c>
      <c r="I202" s="11">
        <v>228</v>
      </c>
      <c r="J202" s="11"/>
      <c r="K202" s="11"/>
      <c r="L202" s="11"/>
      <c r="M202" s="11"/>
      <c r="N202" s="11"/>
      <c r="O202" s="11">
        <v>38</v>
      </c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>
        <v>38</v>
      </c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>
        <v>38</v>
      </c>
      <c r="AO202" s="11"/>
      <c r="AP202" s="11"/>
      <c r="AQ202" s="11"/>
      <c r="AR202" s="11"/>
      <c r="AS202" s="11"/>
      <c r="AT202" s="20" t="str">
        <f>HYPERLINK("http://www.openstreetmap.org/?mlat=34.2422&amp;mlon=44.5191&amp;zoom=12#map=12/34.2422/44.5191","Maplink1")</f>
        <v>Maplink1</v>
      </c>
      <c r="AU202" s="20" t="str">
        <f>HYPERLINK("https://www.google.iq/maps/search/+34.2422,44.5191/@34.2422,44.5191,14z?hl=en","Maplink2")</f>
        <v>Maplink2</v>
      </c>
      <c r="AV202" s="20" t="str">
        <f>HYPERLINK("http://www.bing.com/maps/?lvl=14&amp;sty=h&amp;cp=34.2422~44.5191&amp;sp=point.34.2422_44.5191","Maplink3")</f>
        <v>Maplink3</v>
      </c>
    </row>
    <row r="203" spans="1:48" x14ac:dyDescent="0.25">
      <c r="A203" s="9">
        <v>27174</v>
      </c>
      <c r="B203" s="10" t="s">
        <v>13</v>
      </c>
      <c r="C203" s="10" t="s">
        <v>338</v>
      </c>
      <c r="D203" s="10" t="s">
        <v>416</v>
      </c>
      <c r="E203" s="10" t="s">
        <v>417</v>
      </c>
      <c r="F203" s="10">
        <v>34.040211939999999</v>
      </c>
      <c r="G203" s="10">
        <v>44.371946549999997</v>
      </c>
      <c r="H203" s="11">
        <v>140</v>
      </c>
      <c r="I203" s="11">
        <v>840</v>
      </c>
      <c r="J203" s="11"/>
      <c r="K203" s="11"/>
      <c r="L203" s="11"/>
      <c r="M203" s="11"/>
      <c r="N203" s="11"/>
      <c r="O203" s="11"/>
      <c r="P203" s="11"/>
      <c r="Q203" s="11"/>
      <c r="R203" s="11">
        <v>140</v>
      </c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>
        <v>140</v>
      </c>
      <c r="AE203" s="11"/>
      <c r="AF203" s="11"/>
      <c r="AG203" s="11"/>
      <c r="AH203" s="11"/>
      <c r="AI203" s="11"/>
      <c r="AJ203" s="11"/>
      <c r="AK203" s="11"/>
      <c r="AL203" s="11"/>
      <c r="AM203" s="11"/>
      <c r="AN203" s="11">
        <v>140</v>
      </c>
      <c r="AO203" s="11"/>
      <c r="AP203" s="11"/>
      <c r="AQ203" s="11"/>
      <c r="AR203" s="11"/>
      <c r="AS203" s="11"/>
      <c r="AT203" s="20" t="str">
        <f>HYPERLINK("http://www.openstreetmap.org/?mlat=34.0402&amp;mlon=44.3719&amp;zoom=12#map=12/34.0402/44.3719","Maplink1")</f>
        <v>Maplink1</v>
      </c>
      <c r="AU203" s="20" t="str">
        <f>HYPERLINK("https://www.google.iq/maps/search/+34.0402,44.3719/@34.0402,44.3719,14z?hl=en","Maplink2")</f>
        <v>Maplink2</v>
      </c>
      <c r="AV203" s="20" t="str">
        <f>HYPERLINK("http://www.bing.com/maps/?lvl=14&amp;sty=h&amp;cp=34.0402~44.3719&amp;sp=point.34.0402_44.3719","Maplink3")</f>
        <v>Maplink3</v>
      </c>
    </row>
    <row r="204" spans="1:48" x14ac:dyDescent="0.25">
      <c r="A204" s="9">
        <v>27157</v>
      </c>
      <c r="B204" s="10" t="s">
        <v>13</v>
      </c>
      <c r="C204" s="10" t="s">
        <v>338</v>
      </c>
      <c r="D204" s="10" t="s">
        <v>418</v>
      </c>
      <c r="E204" s="10" t="s">
        <v>419</v>
      </c>
      <c r="F204" s="10">
        <v>34.23302623</v>
      </c>
      <c r="G204" s="10">
        <v>44.527980419999999</v>
      </c>
      <c r="H204" s="11">
        <v>17</v>
      </c>
      <c r="I204" s="11">
        <v>102</v>
      </c>
      <c r="J204" s="11"/>
      <c r="K204" s="11"/>
      <c r="L204" s="11"/>
      <c r="M204" s="11"/>
      <c r="N204" s="11"/>
      <c r="O204" s="11"/>
      <c r="P204" s="11"/>
      <c r="Q204" s="11"/>
      <c r="R204" s="11">
        <v>17</v>
      </c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>
        <v>17</v>
      </c>
      <c r="AE204" s="11"/>
      <c r="AF204" s="11"/>
      <c r="AG204" s="11"/>
      <c r="AH204" s="11"/>
      <c r="AI204" s="11"/>
      <c r="AJ204" s="11"/>
      <c r="AK204" s="11"/>
      <c r="AL204" s="11"/>
      <c r="AM204" s="11"/>
      <c r="AN204" s="11">
        <v>17</v>
      </c>
      <c r="AO204" s="11"/>
      <c r="AP204" s="11"/>
      <c r="AQ204" s="11"/>
      <c r="AR204" s="11"/>
      <c r="AS204" s="11"/>
      <c r="AT204" s="20" t="str">
        <f>HYPERLINK("http://www.openstreetmap.org/?mlat=34.233&amp;mlon=44.528&amp;zoom=12#map=12/34.233/44.528","Maplink1")</f>
        <v>Maplink1</v>
      </c>
      <c r="AU204" s="20" t="str">
        <f>HYPERLINK("https://www.google.iq/maps/search/+34.233,44.528/@34.233,44.528,14z?hl=en","Maplink2")</f>
        <v>Maplink2</v>
      </c>
      <c r="AV204" s="20" t="str">
        <f>HYPERLINK("http://www.bing.com/maps/?lvl=14&amp;sty=h&amp;cp=34.233~44.528&amp;sp=point.34.233_44.528","Maplink3")</f>
        <v>Maplink3</v>
      </c>
    </row>
    <row r="205" spans="1:48" x14ac:dyDescent="0.25">
      <c r="A205" s="9">
        <v>27183</v>
      </c>
      <c r="B205" s="10" t="s">
        <v>13</v>
      </c>
      <c r="C205" s="10" t="s">
        <v>338</v>
      </c>
      <c r="D205" s="10" t="s">
        <v>420</v>
      </c>
      <c r="E205" s="10" t="s">
        <v>421</v>
      </c>
      <c r="F205" s="10">
        <v>34.216574970000003</v>
      </c>
      <c r="G205" s="10">
        <v>44.520291380000003</v>
      </c>
      <c r="H205" s="11">
        <v>17</v>
      </c>
      <c r="I205" s="11">
        <v>102</v>
      </c>
      <c r="J205" s="11"/>
      <c r="K205" s="11"/>
      <c r="L205" s="11"/>
      <c r="M205" s="11"/>
      <c r="N205" s="11"/>
      <c r="O205" s="11"/>
      <c r="P205" s="11"/>
      <c r="Q205" s="11"/>
      <c r="R205" s="11">
        <v>17</v>
      </c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>
        <v>17</v>
      </c>
      <c r="AE205" s="11"/>
      <c r="AF205" s="11"/>
      <c r="AG205" s="11"/>
      <c r="AH205" s="11"/>
      <c r="AI205" s="11"/>
      <c r="AJ205" s="11"/>
      <c r="AK205" s="11"/>
      <c r="AL205" s="11"/>
      <c r="AM205" s="11"/>
      <c r="AN205" s="11">
        <v>17</v>
      </c>
      <c r="AO205" s="11"/>
      <c r="AP205" s="11"/>
      <c r="AQ205" s="11"/>
      <c r="AR205" s="11"/>
      <c r="AS205" s="11"/>
      <c r="AT205" s="20" t="str">
        <f>HYPERLINK("http://www.openstreetmap.org/?mlat=34.2166&amp;mlon=44.5203&amp;zoom=12#map=12/34.2166/44.5203","Maplink1")</f>
        <v>Maplink1</v>
      </c>
      <c r="AU205" s="20" t="str">
        <f>HYPERLINK("https://www.google.iq/maps/search/+34.2166,44.5203/@34.2166,44.5203,14z?hl=en","Maplink2")</f>
        <v>Maplink2</v>
      </c>
      <c r="AV205" s="20" t="str">
        <f>HYPERLINK("http://www.bing.com/maps/?lvl=14&amp;sty=h&amp;cp=34.2166~44.5203&amp;sp=point.34.2166_44.5203","Maplink3")</f>
        <v>Maplink3</v>
      </c>
    </row>
    <row r="206" spans="1:48" x14ac:dyDescent="0.25">
      <c r="A206" s="9">
        <v>23498</v>
      </c>
      <c r="B206" s="10" t="s">
        <v>13</v>
      </c>
      <c r="C206" s="10" t="s">
        <v>338</v>
      </c>
      <c r="D206" s="10" t="s">
        <v>422</v>
      </c>
      <c r="E206" s="10" t="s">
        <v>423</v>
      </c>
      <c r="F206" s="10">
        <v>34.369550467300002</v>
      </c>
      <c r="G206" s="10">
        <v>44.613803772499999</v>
      </c>
      <c r="H206" s="11">
        <v>10</v>
      </c>
      <c r="I206" s="11">
        <v>60</v>
      </c>
      <c r="J206" s="11"/>
      <c r="K206" s="11"/>
      <c r="L206" s="11"/>
      <c r="M206" s="11"/>
      <c r="N206" s="11"/>
      <c r="O206" s="11"/>
      <c r="P206" s="11"/>
      <c r="Q206" s="11"/>
      <c r="R206" s="11">
        <v>10</v>
      </c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>
        <v>10</v>
      </c>
      <c r="AE206" s="11"/>
      <c r="AF206" s="11"/>
      <c r="AG206" s="11"/>
      <c r="AH206" s="11"/>
      <c r="AI206" s="11"/>
      <c r="AJ206" s="11"/>
      <c r="AK206" s="11"/>
      <c r="AL206" s="11"/>
      <c r="AM206" s="11"/>
      <c r="AN206" s="11">
        <v>10</v>
      </c>
      <c r="AO206" s="11"/>
      <c r="AP206" s="11"/>
      <c r="AQ206" s="11"/>
      <c r="AR206" s="11"/>
      <c r="AS206" s="11"/>
      <c r="AT206" s="20" t="str">
        <f>HYPERLINK("http://www.openstreetmap.org/?mlat=34.3696&amp;mlon=44.6138&amp;zoom=12#map=12/34.3696/44.6138","Maplink1")</f>
        <v>Maplink1</v>
      </c>
      <c r="AU206" s="20" t="str">
        <f>HYPERLINK("https://www.google.iq/maps/search/+34.3696,44.6138/@34.3696,44.6138,14z?hl=en","Maplink2")</f>
        <v>Maplink2</v>
      </c>
      <c r="AV206" s="20" t="str">
        <f>HYPERLINK("http://www.bing.com/maps/?lvl=14&amp;sty=h&amp;cp=34.3696~44.6138&amp;sp=point.34.3696_44.6138","Maplink3")</f>
        <v>Maplink3</v>
      </c>
    </row>
    <row r="207" spans="1:48" x14ac:dyDescent="0.25">
      <c r="A207" s="9">
        <v>25681</v>
      </c>
      <c r="B207" s="10" t="s">
        <v>13</v>
      </c>
      <c r="C207" s="10" t="s">
        <v>338</v>
      </c>
      <c r="D207" s="10" t="s">
        <v>1157</v>
      </c>
      <c r="E207" s="10" t="s">
        <v>424</v>
      </c>
      <c r="F207" s="10">
        <v>34.08053941</v>
      </c>
      <c r="G207" s="10">
        <v>44.916511880000002</v>
      </c>
      <c r="H207" s="11">
        <v>12</v>
      </c>
      <c r="I207" s="11">
        <v>72</v>
      </c>
      <c r="J207" s="11"/>
      <c r="K207" s="11"/>
      <c r="L207" s="11"/>
      <c r="M207" s="11"/>
      <c r="N207" s="11"/>
      <c r="O207" s="11">
        <v>10</v>
      </c>
      <c r="P207" s="11"/>
      <c r="Q207" s="11"/>
      <c r="R207" s="11">
        <v>2</v>
      </c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>
        <v>6</v>
      </c>
      <c r="AD207" s="11"/>
      <c r="AE207" s="11"/>
      <c r="AF207" s="11"/>
      <c r="AG207" s="11"/>
      <c r="AH207" s="11"/>
      <c r="AI207" s="11"/>
      <c r="AJ207" s="11"/>
      <c r="AK207" s="11">
        <v>6</v>
      </c>
      <c r="AL207" s="11"/>
      <c r="AM207" s="11"/>
      <c r="AN207" s="11"/>
      <c r="AO207" s="11"/>
      <c r="AP207" s="11">
        <v>12</v>
      </c>
      <c r="AQ207" s="11"/>
      <c r="AR207" s="11"/>
      <c r="AS207" s="11"/>
      <c r="AT207" s="20" t="str">
        <f>HYPERLINK("http://www.openstreetmap.org/?mlat=34.0805&amp;mlon=44.9165&amp;zoom=12#map=12/34.0805/44.9165","Maplink1")</f>
        <v>Maplink1</v>
      </c>
      <c r="AU207" s="20" t="str">
        <f>HYPERLINK("https://www.google.iq/maps/search/+34.0805,44.9165/@34.0805,44.9165,14z?hl=en","Maplink2")</f>
        <v>Maplink2</v>
      </c>
      <c r="AV207" s="20" t="str">
        <f>HYPERLINK("http://www.bing.com/maps/?lvl=14&amp;sty=h&amp;cp=34.0805~44.9165&amp;sp=point.34.0805_44.9165","Maplink3")</f>
        <v>Maplink3</v>
      </c>
    </row>
    <row r="208" spans="1:48" x14ac:dyDescent="0.25">
      <c r="A208" s="9">
        <v>25680</v>
      </c>
      <c r="B208" s="10" t="s">
        <v>13</v>
      </c>
      <c r="C208" s="10" t="s">
        <v>338</v>
      </c>
      <c r="D208" s="10" t="s">
        <v>425</v>
      </c>
      <c r="E208" s="10" t="s">
        <v>426</v>
      </c>
      <c r="F208" s="10">
        <v>34.023652210000002</v>
      </c>
      <c r="G208" s="10">
        <v>44.865479260000001</v>
      </c>
      <c r="H208" s="11">
        <v>100</v>
      </c>
      <c r="I208" s="11">
        <v>600</v>
      </c>
      <c r="J208" s="11"/>
      <c r="K208" s="11"/>
      <c r="L208" s="11"/>
      <c r="M208" s="11"/>
      <c r="N208" s="11"/>
      <c r="O208" s="11">
        <v>82</v>
      </c>
      <c r="P208" s="11"/>
      <c r="Q208" s="11"/>
      <c r="R208" s="11">
        <v>9</v>
      </c>
      <c r="S208" s="11"/>
      <c r="T208" s="11"/>
      <c r="U208" s="11"/>
      <c r="V208" s="11"/>
      <c r="W208" s="11"/>
      <c r="X208" s="11"/>
      <c r="Y208" s="11">
        <v>9</v>
      </c>
      <c r="Z208" s="11"/>
      <c r="AA208" s="11"/>
      <c r="AB208" s="11"/>
      <c r="AC208" s="11">
        <v>100</v>
      </c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>
        <v>100</v>
      </c>
      <c r="AQ208" s="11"/>
      <c r="AR208" s="11"/>
      <c r="AS208" s="11"/>
      <c r="AT208" s="20" t="str">
        <f>HYPERLINK("http://www.openstreetmap.org/?mlat=34.0237&amp;mlon=44.8655&amp;zoom=12#map=12/34.0237/44.8655","Maplink1")</f>
        <v>Maplink1</v>
      </c>
      <c r="AU208" s="20" t="str">
        <f>HYPERLINK("https://www.google.iq/maps/search/+34.0237,44.8655/@34.0237,44.8655,14z?hl=en","Maplink2")</f>
        <v>Maplink2</v>
      </c>
      <c r="AV208" s="20" t="str">
        <f>HYPERLINK("http://www.bing.com/maps/?lvl=14&amp;sty=h&amp;cp=34.0237~44.8655&amp;sp=point.34.0237_44.8655","Maplink3")</f>
        <v>Maplink3</v>
      </c>
    </row>
    <row r="209" spans="1:48" x14ac:dyDescent="0.25">
      <c r="A209" s="9">
        <v>26074</v>
      </c>
      <c r="B209" s="10" t="s">
        <v>13</v>
      </c>
      <c r="C209" s="10" t="s">
        <v>338</v>
      </c>
      <c r="D209" s="10" t="s">
        <v>427</v>
      </c>
      <c r="E209" s="10" t="s">
        <v>428</v>
      </c>
      <c r="F209" s="10">
        <v>34.082662529899999</v>
      </c>
      <c r="G209" s="10">
        <v>44.874094282400002</v>
      </c>
      <c r="H209" s="11">
        <v>135</v>
      </c>
      <c r="I209" s="11">
        <v>810</v>
      </c>
      <c r="J209" s="11"/>
      <c r="K209" s="11"/>
      <c r="L209" s="11"/>
      <c r="M209" s="11"/>
      <c r="N209" s="11"/>
      <c r="O209" s="11">
        <v>135</v>
      </c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>
        <v>50</v>
      </c>
      <c r="AD209" s="11"/>
      <c r="AE209" s="11"/>
      <c r="AF209" s="11"/>
      <c r="AG209" s="11"/>
      <c r="AH209" s="11"/>
      <c r="AI209" s="11"/>
      <c r="AJ209" s="11"/>
      <c r="AK209" s="11">
        <v>85</v>
      </c>
      <c r="AL209" s="11"/>
      <c r="AM209" s="11"/>
      <c r="AN209" s="11">
        <v>135</v>
      </c>
      <c r="AO209" s="11"/>
      <c r="AP209" s="11"/>
      <c r="AQ209" s="11"/>
      <c r="AR209" s="11"/>
      <c r="AS209" s="11"/>
      <c r="AT209" s="20" t="str">
        <f>HYPERLINK("http://www.openstreetmap.org/?mlat=34.0827&amp;mlon=44.8741&amp;zoom=12#map=12/34.0827/44.8741","Maplink1")</f>
        <v>Maplink1</v>
      </c>
      <c r="AU209" s="20" t="str">
        <f>HYPERLINK("https://www.google.iq/maps/search/+34.0827,44.8741/@34.0827,44.8741,14z?hl=en","Maplink2")</f>
        <v>Maplink2</v>
      </c>
      <c r="AV209" s="20" t="str">
        <f>HYPERLINK("http://www.bing.com/maps/?lvl=14&amp;sty=h&amp;cp=34.0827~44.8741&amp;sp=point.34.0827_44.8741","Maplink3")</f>
        <v>Maplink3</v>
      </c>
    </row>
    <row r="210" spans="1:48" x14ac:dyDescent="0.25">
      <c r="A210" s="9">
        <v>26055</v>
      </c>
      <c r="B210" s="10" t="s">
        <v>13</v>
      </c>
      <c r="C210" s="10" t="s">
        <v>338</v>
      </c>
      <c r="D210" s="10" t="s">
        <v>429</v>
      </c>
      <c r="E210" s="10" t="s">
        <v>430</v>
      </c>
      <c r="F210" s="10">
        <v>34.056063020000003</v>
      </c>
      <c r="G210" s="10">
        <v>44.846521989999999</v>
      </c>
      <c r="H210" s="11">
        <v>95</v>
      </c>
      <c r="I210" s="11">
        <v>570</v>
      </c>
      <c r="J210" s="11"/>
      <c r="K210" s="11"/>
      <c r="L210" s="11"/>
      <c r="M210" s="11"/>
      <c r="N210" s="11"/>
      <c r="O210" s="11">
        <v>95</v>
      </c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>
        <v>95</v>
      </c>
      <c r="AL210" s="11"/>
      <c r="AM210" s="11"/>
      <c r="AN210" s="11">
        <v>95</v>
      </c>
      <c r="AO210" s="11"/>
      <c r="AP210" s="11"/>
      <c r="AQ210" s="11"/>
      <c r="AR210" s="11"/>
      <c r="AS210" s="11"/>
      <c r="AT210" s="20" t="str">
        <f>HYPERLINK("http://www.openstreetmap.org/?mlat=34.0561&amp;mlon=44.8465&amp;zoom=12#map=12/34.0561/44.8465","Maplink1")</f>
        <v>Maplink1</v>
      </c>
      <c r="AU210" s="20" t="str">
        <f>HYPERLINK("https://www.google.iq/maps/search/+34.0561,44.8465/@34.0561,44.8465,14z?hl=en","Maplink2")</f>
        <v>Maplink2</v>
      </c>
      <c r="AV210" s="20" t="str">
        <f>HYPERLINK("http://www.bing.com/maps/?lvl=14&amp;sty=h&amp;cp=34.0561~44.8465&amp;sp=point.34.0561_44.8465","Maplink3")</f>
        <v>Maplink3</v>
      </c>
    </row>
    <row r="211" spans="1:48" x14ac:dyDescent="0.25">
      <c r="A211" s="9">
        <v>28465</v>
      </c>
      <c r="B211" s="10" t="s">
        <v>13</v>
      </c>
      <c r="C211" s="10" t="s">
        <v>338</v>
      </c>
      <c r="D211" s="10" t="s">
        <v>431</v>
      </c>
      <c r="E211" s="10" t="s">
        <v>432</v>
      </c>
      <c r="F211" s="10">
        <v>34.25525743</v>
      </c>
      <c r="G211" s="10">
        <v>44.528739999999999</v>
      </c>
      <c r="H211" s="11">
        <v>17</v>
      </c>
      <c r="I211" s="11">
        <v>102</v>
      </c>
      <c r="J211" s="11"/>
      <c r="K211" s="11"/>
      <c r="L211" s="11"/>
      <c r="M211" s="11"/>
      <c r="N211" s="11"/>
      <c r="O211" s="11">
        <v>17</v>
      </c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>
        <v>17</v>
      </c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>
        <v>17</v>
      </c>
      <c r="AO211" s="11"/>
      <c r="AP211" s="11"/>
      <c r="AQ211" s="11"/>
      <c r="AR211" s="11"/>
      <c r="AS211" s="11"/>
      <c r="AT211" s="20" t="str">
        <f>HYPERLINK("http://www.openstreetmap.org/?mlat=34.2553&amp;mlon=44.5287&amp;zoom=12#map=12/34.2553/44.5287","Maplink1")</f>
        <v>Maplink1</v>
      </c>
      <c r="AU211" s="20" t="str">
        <f>HYPERLINK("https://www.google.iq/maps/search/+34.2553,44.5287/@34.2553,44.5287,14z?hl=en","Maplink2")</f>
        <v>Maplink2</v>
      </c>
      <c r="AV211" s="20" t="str">
        <f>HYPERLINK("http://www.bing.com/maps/?lvl=14&amp;sty=h&amp;cp=34.2553~44.5287&amp;sp=point.34.2553_44.5287","Maplink3")</f>
        <v>Maplink3</v>
      </c>
    </row>
    <row r="212" spans="1:48" x14ac:dyDescent="0.25">
      <c r="A212" s="9">
        <v>28446</v>
      </c>
      <c r="B212" s="10" t="s">
        <v>13</v>
      </c>
      <c r="C212" s="10" t="s">
        <v>338</v>
      </c>
      <c r="D212" s="10" t="s">
        <v>433</v>
      </c>
      <c r="E212" s="10" t="s">
        <v>434</v>
      </c>
      <c r="F212" s="10">
        <v>34.270393769999998</v>
      </c>
      <c r="G212" s="10">
        <v>44.533716560000002</v>
      </c>
      <c r="H212" s="11">
        <v>17</v>
      </c>
      <c r="I212" s="11">
        <v>102</v>
      </c>
      <c r="J212" s="11"/>
      <c r="K212" s="11"/>
      <c r="L212" s="11"/>
      <c r="M212" s="11"/>
      <c r="N212" s="11"/>
      <c r="O212" s="11">
        <v>17</v>
      </c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>
        <v>17</v>
      </c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>
        <v>17</v>
      </c>
      <c r="AO212" s="11"/>
      <c r="AP212" s="11"/>
      <c r="AQ212" s="11"/>
      <c r="AR212" s="11"/>
      <c r="AS212" s="11"/>
      <c r="AT212" s="20" t="str">
        <f>HYPERLINK("http://www.openstreetmap.org/?mlat=34.2704&amp;mlon=44.5337&amp;zoom=12#map=12/34.2704/44.5337","Maplink1")</f>
        <v>Maplink1</v>
      </c>
      <c r="AU212" s="20" t="str">
        <f>HYPERLINK("https://www.google.iq/maps/search/+34.2704,44.5337/@34.2704,44.5337,14z?hl=en","Maplink2")</f>
        <v>Maplink2</v>
      </c>
      <c r="AV212" s="20" t="str">
        <f>HYPERLINK("http://www.bing.com/maps/?lvl=14&amp;sty=h&amp;cp=34.2704~44.5337&amp;sp=point.34.2704_44.5337","Maplink3")</f>
        <v>Maplink3</v>
      </c>
    </row>
    <row r="213" spans="1:48" x14ac:dyDescent="0.25">
      <c r="A213" s="9">
        <v>25670</v>
      </c>
      <c r="B213" s="10" t="s">
        <v>13</v>
      </c>
      <c r="C213" s="10" t="s">
        <v>338</v>
      </c>
      <c r="D213" s="10" t="s">
        <v>435</v>
      </c>
      <c r="E213" s="10" t="s">
        <v>436</v>
      </c>
      <c r="F213" s="10">
        <v>34.098608212099997</v>
      </c>
      <c r="G213" s="10">
        <v>44.741252624700003</v>
      </c>
      <c r="H213" s="11">
        <v>57</v>
      </c>
      <c r="I213" s="11">
        <v>342</v>
      </c>
      <c r="J213" s="11"/>
      <c r="K213" s="11"/>
      <c r="L213" s="11"/>
      <c r="M213" s="11"/>
      <c r="N213" s="11"/>
      <c r="O213" s="11">
        <v>57</v>
      </c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>
        <v>57</v>
      </c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>
        <v>57</v>
      </c>
      <c r="AO213" s="11"/>
      <c r="AP213" s="11"/>
      <c r="AQ213" s="11"/>
      <c r="AR213" s="11"/>
      <c r="AS213" s="11"/>
      <c r="AT213" s="20" t="str">
        <f>HYPERLINK("http://www.openstreetmap.org/?mlat=34.0986&amp;mlon=44.7413&amp;zoom=12#map=12/34.0986/44.7413","Maplink1")</f>
        <v>Maplink1</v>
      </c>
      <c r="AU213" s="20" t="str">
        <f>HYPERLINK("https://www.google.iq/maps/search/+34.0986,44.7413/@34.0986,44.7413,14z?hl=en","Maplink2")</f>
        <v>Maplink2</v>
      </c>
      <c r="AV213" s="20" t="str">
        <f>HYPERLINK("http://www.bing.com/maps/?lvl=14&amp;sty=h&amp;cp=34.0986~44.7413&amp;sp=point.34.0986_44.7413","Maplink3")</f>
        <v>Maplink3</v>
      </c>
    </row>
    <row r="214" spans="1:48" x14ac:dyDescent="0.25">
      <c r="A214" s="9">
        <v>25671</v>
      </c>
      <c r="B214" s="10" t="s">
        <v>13</v>
      </c>
      <c r="C214" s="10" t="s">
        <v>338</v>
      </c>
      <c r="D214" s="10" t="s">
        <v>437</v>
      </c>
      <c r="E214" s="10" t="s">
        <v>438</v>
      </c>
      <c r="F214" s="10">
        <v>33.997503199999997</v>
      </c>
      <c r="G214" s="10">
        <v>44.841394010000002</v>
      </c>
      <c r="H214" s="11">
        <v>272</v>
      </c>
      <c r="I214" s="11">
        <v>1632</v>
      </c>
      <c r="J214" s="11"/>
      <c r="K214" s="11"/>
      <c r="L214" s="11"/>
      <c r="M214" s="11"/>
      <c r="N214" s="11"/>
      <c r="O214" s="11">
        <v>184</v>
      </c>
      <c r="P214" s="11"/>
      <c r="Q214" s="11"/>
      <c r="R214" s="11">
        <v>38</v>
      </c>
      <c r="S214" s="11"/>
      <c r="T214" s="11"/>
      <c r="U214" s="11"/>
      <c r="V214" s="11"/>
      <c r="W214" s="11"/>
      <c r="X214" s="11"/>
      <c r="Y214" s="11">
        <v>50</v>
      </c>
      <c r="Z214" s="11"/>
      <c r="AA214" s="11"/>
      <c r="AB214" s="11"/>
      <c r="AC214" s="11">
        <v>80</v>
      </c>
      <c r="AD214" s="11"/>
      <c r="AE214" s="11"/>
      <c r="AF214" s="11"/>
      <c r="AG214" s="11"/>
      <c r="AH214" s="11"/>
      <c r="AI214" s="11"/>
      <c r="AJ214" s="11"/>
      <c r="AK214" s="11">
        <v>192</v>
      </c>
      <c r="AL214" s="11"/>
      <c r="AM214" s="11"/>
      <c r="AN214" s="11"/>
      <c r="AO214" s="11"/>
      <c r="AP214" s="11">
        <v>272</v>
      </c>
      <c r="AQ214" s="11"/>
      <c r="AR214" s="11"/>
      <c r="AS214" s="11"/>
      <c r="AT214" s="20" t="str">
        <f>HYPERLINK("http://www.openstreetmap.org/?mlat=33.9975&amp;mlon=44.8414&amp;zoom=12#map=12/33.9975/44.8414","Maplink1")</f>
        <v>Maplink1</v>
      </c>
      <c r="AU214" s="20" t="str">
        <f>HYPERLINK("https://www.google.iq/maps/search/+33.9975,44.8414/@33.9975,44.8414,14z?hl=en","Maplink2")</f>
        <v>Maplink2</v>
      </c>
      <c r="AV214" s="20" t="str">
        <f>HYPERLINK("http://www.bing.com/maps/?lvl=14&amp;sty=h&amp;cp=33.9975~44.8414&amp;sp=point.33.9975_44.8414","Maplink3")</f>
        <v>Maplink3</v>
      </c>
    </row>
    <row r="215" spans="1:48" x14ac:dyDescent="0.25">
      <c r="A215" s="9">
        <v>27162</v>
      </c>
      <c r="B215" s="10" t="s">
        <v>13</v>
      </c>
      <c r="C215" s="10" t="s">
        <v>338</v>
      </c>
      <c r="D215" s="10" t="s">
        <v>439</v>
      </c>
      <c r="E215" s="10" t="s">
        <v>440</v>
      </c>
      <c r="F215" s="10">
        <v>34.324599319999997</v>
      </c>
      <c r="G215" s="10">
        <v>44.744052719999999</v>
      </c>
      <c r="H215" s="11">
        <v>120</v>
      </c>
      <c r="I215" s="11">
        <v>720</v>
      </c>
      <c r="J215" s="11"/>
      <c r="K215" s="11"/>
      <c r="L215" s="11"/>
      <c r="M215" s="11"/>
      <c r="N215" s="11"/>
      <c r="O215" s="11"/>
      <c r="P215" s="11"/>
      <c r="Q215" s="11"/>
      <c r="R215" s="11">
        <v>120</v>
      </c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>
        <v>120</v>
      </c>
      <c r="AE215" s="11"/>
      <c r="AF215" s="11"/>
      <c r="AG215" s="11"/>
      <c r="AH215" s="11"/>
      <c r="AI215" s="11"/>
      <c r="AJ215" s="11"/>
      <c r="AK215" s="11"/>
      <c r="AL215" s="11"/>
      <c r="AM215" s="11"/>
      <c r="AN215" s="11">
        <v>120</v>
      </c>
      <c r="AO215" s="11"/>
      <c r="AP215" s="11"/>
      <c r="AQ215" s="11"/>
      <c r="AR215" s="11"/>
      <c r="AS215" s="11"/>
      <c r="AT215" s="20" t="str">
        <f>HYPERLINK("http://www.openstreetmap.org/?mlat=34.3246&amp;mlon=44.7441&amp;zoom=12#map=12/34.3246/44.7441","Maplink1")</f>
        <v>Maplink1</v>
      </c>
      <c r="AU215" s="20" t="str">
        <f>HYPERLINK("https://www.google.iq/maps/search/+34.3246,44.7441/@34.3246,44.7441,14z?hl=en","Maplink2")</f>
        <v>Maplink2</v>
      </c>
      <c r="AV215" s="20" t="str">
        <f>HYPERLINK("http://www.bing.com/maps/?lvl=14&amp;sty=h&amp;cp=34.3246~44.7441&amp;sp=point.34.3246_44.7441","Maplink3")</f>
        <v>Maplink3</v>
      </c>
    </row>
    <row r="216" spans="1:48" x14ac:dyDescent="0.25">
      <c r="A216" s="9">
        <v>25651</v>
      </c>
      <c r="B216" s="10" t="s">
        <v>13</v>
      </c>
      <c r="C216" s="10" t="s">
        <v>338</v>
      </c>
      <c r="D216" s="10" t="s">
        <v>441</v>
      </c>
      <c r="E216" s="10" t="s">
        <v>442</v>
      </c>
      <c r="F216" s="10">
        <v>34.073397</v>
      </c>
      <c r="G216" s="10">
        <v>44.8639966</v>
      </c>
      <c r="H216" s="11">
        <v>433</v>
      </c>
      <c r="I216" s="11">
        <v>2598</v>
      </c>
      <c r="J216" s="11"/>
      <c r="K216" s="11"/>
      <c r="L216" s="11"/>
      <c r="M216" s="11"/>
      <c r="N216" s="11"/>
      <c r="O216" s="11">
        <v>333</v>
      </c>
      <c r="P216" s="11"/>
      <c r="Q216" s="11"/>
      <c r="R216" s="11">
        <v>45</v>
      </c>
      <c r="S216" s="11"/>
      <c r="T216" s="11"/>
      <c r="U216" s="11"/>
      <c r="V216" s="11"/>
      <c r="W216" s="11"/>
      <c r="X216" s="11"/>
      <c r="Y216" s="11">
        <v>55</v>
      </c>
      <c r="Z216" s="11"/>
      <c r="AA216" s="11"/>
      <c r="AB216" s="11"/>
      <c r="AC216" s="11">
        <v>433</v>
      </c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>
        <v>433</v>
      </c>
      <c r="AO216" s="11"/>
      <c r="AP216" s="11"/>
      <c r="AQ216" s="11"/>
      <c r="AR216" s="11"/>
      <c r="AS216" s="11"/>
      <c r="AT216" s="20" t="str">
        <f>HYPERLINK("http://www.openstreetmap.org/?mlat=34.0734&amp;mlon=44.864&amp;zoom=12#map=12/34.0734/44.864","Maplink1")</f>
        <v>Maplink1</v>
      </c>
      <c r="AU216" s="20" t="str">
        <f>HYPERLINK("https://www.google.iq/maps/search/+34.0734,44.864/@34.0734,44.864,14z?hl=en","Maplink2")</f>
        <v>Maplink2</v>
      </c>
      <c r="AV216" s="20" t="str">
        <f>HYPERLINK("http://www.bing.com/maps/?lvl=14&amp;sty=h&amp;cp=34.0734~44.864&amp;sp=point.34.0734_44.864","Maplink3")</f>
        <v>Maplink3</v>
      </c>
    </row>
    <row r="217" spans="1:48" x14ac:dyDescent="0.25">
      <c r="A217" s="9">
        <v>24194</v>
      </c>
      <c r="B217" s="10" t="s">
        <v>13</v>
      </c>
      <c r="C217" s="10" t="s">
        <v>338</v>
      </c>
      <c r="D217" s="10" t="s">
        <v>1158</v>
      </c>
      <c r="E217" s="10" t="s">
        <v>449</v>
      </c>
      <c r="F217" s="10">
        <v>34.073680979199999</v>
      </c>
      <c r="G217" s="10">
        <v>44.857029207099998</v>
      </c>
      <c r="H217" s="11">
        <v>200</v>
      </c>
      <c r="I217" s="11">
        <v>1200</v>
      </c>
      <c r="J217" s="11"/>
      <c r="K217" s="11"/>
      <c r="L217" s="11"/>
      <c r="M217" s="11"/>
      <c r="N217" s="11"/>
      <c r="O217" s="11">
        <v>161</v>
      </c>
      <c r="P217" s="11"/>
      <c r="Q217" s="11"/>
      <c r="R217" s="11">
        <v>39</v>
      </c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>
        <v>200</v>
      </c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>
        <v>200</v>
      </c>
      <c r="AO217" s="11"/>
      <c r="AP217" s="11"/>
      <c r="AQ217" s="11"/>
      <c r="AR217" s="11"/>
      <c r="AS217" s="11"/>
      <c r="AT217" s="20" t="str">
        <f>HYPERLINK("http://www.openstreetmap.org/?mlat=34.0737&amp;mlon=44.857&amp;zoom=12#map=12/34.0737/44.857","Maplink1")</f>
        <v>Maplink1</v>
      </c>
      <c r="AU217" s="20" t="str">
        <f>HYPERLINK("https://www.google.iq/maps/search/+34.0737,44.857/@34.0737,44.857,14z?hl=en","Maplink2")</f>
        <v>Maplink2</v>
      </c>
      <c r="AV217" s="20" t="str">
        <f>HYPERLINK("http://www.bing.com/maps/?lvl=14&amp;sty=h&amp;cp=34.0737~44.857&amp;sp=point.34.0737_44.857","Maplink3")</f>
        <v>Maplink3</v>
      </c>
    </row>
    <row r="218" spans="1:48" x14ac:dyDescent="0.25">
      <c r="A218" s="9">
        <v>25655</v>
      </c>
      <c r="B218" s="10" t="s">
        <v>13</v>
      </c>
      <c r="C218" s="10" t="s">
        <v>338</v>
      </c>
      <c r="D218" s="10" t="s">
        <v>443</v>
      </c>
      <c r="E218" s="10" t="s">
        <v>444</v>
      </c>
      <c r="F218" s="10">
        <v>34.070367109999999</v>
      </c>
      <c r="G218" s="10">
        <v>44.870580060000002</v>
      </c>
      <c r="H218" s="11">
        <v>305</v>
      </c>
      <c r="I218" s="11">
        <v>1830</v>
      </c>
      <c r="J218" s="11"/>
      <c r="K218" s="11"/>
      <c r="L218" s="11"/>
      <c r="M218" s="11"/>
      <c r="N218" s="11"/>
      <c r="O218" s="11">
        <v>210</v>
      </c>
      <c r="P218" s="11"/>
      <c r="Q218" s="11"/>
      <c r="R218" s="11">
        <v>50</v>
      </c>
      <c r="S218" s="11"/>
      <c r="T218" s="11"/>
      <c r="U218" s="11"/>
      <c r="V218" s="11"/>
      <c r="W218" s="11"/>
      <c r="X218" s="11"/>
      <c r="Y218" s="11">
        <v>45</v>
      </c>
      <c r="Z218" s="11"/>
      <c r="AA218" s="11"/>
      <c r="AB218" s="11"/>
      <c r="AC218" s="11">
        <v>305</v>
      </c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>
        <v>305</v>
      </c>
      <c r="AO218" s="11"/>
      <c r="AP218" s="11"/>
      <c r="AQ218" s="11"/>
      <c r="AR218" s="11"/>
      <c r="AS218" s="11"/>
      <c r="AT218" s="20" t="str">
        <f>HYPERLINK("http://www.openstreetmap.org/?mlat=34.0704&amp;mlon=44.8706&amp;zoom=12#map=12/34.0704/44.8706","Maplink1")</f>
        <v>Maplink1</v>
      </c>
      <c r="AU218" s="20" t="str">
        <f>HYPERLINK("https://www.google.iq/maps/search/+34.0704,44.8706/@34.0704,44.8706,14z?hl=en","Maplink2")</f>
        <v>Maplink2</v>
      </c>
      <c r="AV218" s="20" t="str">
        <f>HYPERLINK("http://www.bing.com/maps/?lvl=14&amp;sty=h&amp;cp=34.0704~44.8706&amp;sp=point.34.0704_44.8706","Maplink3")</f>
        <v>Maplink3</v>
      </c>
    </row>
    <row r="219" spans="1:48" x14ac:dyDescent="0.25">
      <c r="A219" s="9">
        <v>25652</v>
      </c>
      <c r="B219" s="10" t="s">
        <v>13</v>
      </c>
      <c r="C219" s="10" t="s">
        <v>338</v>
      </c>
      <c r="D219" s="10" t="s">
        <v>445</v>
      </c>
      <c r="E219" s="10" t="s">
        <v>446</v>
      </c>
      <c r="F219" s="10">
        <v>34.069891519999999</v>
      </c>
      <c r="G219" s="10">
        <v>44.864400170000003</v>
      </c>
      <c r="H219" s="11">
        <v>417</v>
      </c>
      <c r="I219" s="11">
        <v>2502</v>
      </c>
      <c r="J219" s="11"/>
      <c r="K219" s="11"/>
      <c r="L219" s="11"/>
      <c r="M219" s="11"/>
      <c r="N219" s="11"/>
      <c r="O219" s="11">
        <v>390</v>
      </c>
      <c r="P219" s="11"/>
      <c r="Q219" s="11"/>
      <c r="R219" s="11">
        <v>17</v>
      </c>
      <c r="S219" s="11"/>
      <c r="T219" s="11"/>
      <c r="U219" s="11"/>
      <c r="V219" s="11"/>
      <c r="W219" s="11"/>
      <c r="X219" s="11"/>
      <c r="Y219" s="11">
        <v>10</v>
      </c>
      <c r="Z219" s="11"/>
      <c r="AA219" s="11"/>
      <c r="AB219" s="11"/>
      <c r="AC219" s="11">
        <v>417</v>
      </c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>
        <v>417</v>
      </c>
      <c r="AO219" s="11"/>
      <c r="AP219" s="11"/>
      <c r="AQ219" s="11"/>
      <c r="AR219" s="11"/>
      <c r="AS219" s="11"/>
      <c r="AT219" s="20" t="str">
        <f>HYPERLINK("http://www.openstreetmap.org/?mlat=34.0699&amp;mlon=44.8644&amp;zoom=12#map=12/34.0699/44.8644","Maplink1")</f>
        <v>Maplink1</v>
      </c>
      <c r="AU219" s="20" t="str">
        <f>HYPERLINK("https://www.google.iq/maps/search/+34.0699,44.8644/@34.0699,44.8644,14z?hl=en","Maplink2")</f>
        <v>Maplink2</v>
      </c>
      <c r="AV219" s="20" t="str">
        <f>HYPERLINK("http://www.bing.com/maps/?lvl=14&amp;sty=h&amp;cp=34.0699~44.8644&amp;sp=point.34.0699_44.8644","Maplink3")</f>
        <v>Maplink3</v>
      </c>
    </row>
    <row r="220" spans="1:48" x14ac:dyDescent="0.25">
      <c r="A220" s="9">
        <v>25653</v>
      </c>
      <c r="B220" s="10" t="s">
        <v>13</v>
      </c>
      <c r="C220" s="10" t="s">
        <v>338</v>
      </c>
      <c r="D220" s="10" t="s">
        <v>447</v>
      </c>
      <c r="E220" s="10" t="s">
        <v>448</v>
      </c>
      <c r="F220" s="10">
        <v>34.077036929999998</v>
      </c>
      <c r="G220" s="10">
        <v>44.855530610000002</v>
      </c>
      <c r="H220" s="11">
        <v>237</v>
      </c>
      <c r="I220" s="11">
        <v>1422</v>
      </c>
      <c r="J220" s="11"/>
      <c r="K220" s="11"/>
      <c r="L220" s="11"/>
      <c r="M220" s="11"/>
      <c r="N220" s="11"/>
      <c r="O220" s="11"/>
      <c r="P220" s="11"/>
      <c r="Q220" s="11"/>
      <c r="R220" s="11">
        <v>237</v>
      </c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>
        <v>237</v>
      </c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>
        <v>237</v>
      </c>
      <c r="AO220" s="11"/>
      <c r="AP220" s="11"/>
      <c r="AQ220" s="11"/>
      <c r="AR220" s="11"/>
      <c r="AS220" s="11"/>
      <c r="AT220" s="20" t="str">
        <f>HYPERLINK("http://www.openstreetmap.org/?mlat=34.077&amp;mlon=44.8555&amp;zoom=12#map=12/34.077/44.8555","Maplink1")</f>
        <v>Maplink1</v>
      </c>
      <c r="AU220" s="20" t="str">
        <f>HYPERLINK("https://www.google.iq/maps/search/+34.077,44.8555/@34.077,44.8555,14z?hl=en","Maplink2")</f>
        <v>Maplink2</v>
      </c>
      <c r="AV220" s="20" t="str">
        <f>HYPERLINK("http://www.bing.com/maps/?lvl=14&amp;sty=h&amp;cp=34.077~44.8555&amp;sp=point.34.077_44.8555","Maplink3")</f>
        <v>Maplink3</v>
      </c>
    </row>
    <row r="221" spans="1:48" x14ac:dyDescent="0.25">
      <c r="A221" s="9">
        <v>25656</v>
      </c>
      <c r="B221" s="10" t="s">
        <v>13</v>
      </c>
      <c r="C221" s="10" t="s">
        <v>338</v>
      </c>
      <c r="D221" s="10" t="s">
        <v>1159</v>
      </c>
      <c r="E221" s="10" t="s">
        <v>1160</v>
      </c>
      <c r="F221" s="10">
        <v>34.069639559999999</v>
      </c>
      <c r="G221" s="10">
        <v>44.859890450000002</v>
      </c>
      <c r="H221" s="11">
        <v>201</v>
      </c>
      <c r="I221" s="11">
        <v>1206</v>
      </c>
      <c r="J221" s="11"/>
      <c r="K221" s="11"/>
      <c r="L221" s="11"/>
      <c r="M221" s="11"/>
      <c r="N221" s="11"/>
      <c r="O221" s="11">
        <v>141</v>
      </c>
      <c r="P221" s="11"/>
      <c r="Q221" s="11"/>
      <c r="R221" s="11">
        <v>35</v>
      </c>
      <c r="S221" s="11"/>
      <c r="T221" s="11"/>
      <c r="U221" s="11"/>
      <c r="V221" s="11"/>
      <c r="W221" s="11"/>
      <c r="X221" s="11"/>
      <c r="Y221" s="11">
        <v>25</v>
      </c>
      <c r="Z221" s="11"/>
      <c r="AA221" s="11"/>
      <c r="AB221" s="11"/>
      <c r="AC221" s="11">
        <v>201</v>
      </c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>
        <v>201</v>
      </c>
      <c r="AO221" s="11"/>
      <c r="AP221" s="11"/>
      <c r="AQ221" s="11"/>
      <c r="AR221" s="11"/>
      <c r="AS221" s="11"/>
      <c r="AT221" s="20" t="str">
        <f>HYPERLINK("http://www.openstreetmap.org/?mlat=34.0696&amp;mlon=44.8599&amp;zoom=12#map=12/34.0696/44.8599","Maplink1")</f>
        <v>Maplink1</v>
      </c>
      <c r="AU221" s="20" t="str">
        <f>HYPERLINK("https://www.google.iq/maps/search/+34.0696,44.8599/@34.0696,44.8599,14z?hl=en","Maplink2")</f>
        <v>Maplink2</v>
      </c>
      <c r="AV221" s="20" t="str">
        <f>HYPERLINK("http://www.bing.com/maps/?lvl=14&amp;sty=h&amp;cp=34.0696~44.8599&amp;sp=point.34.0696_44.8599","Maplink3")</f>
        <v>Maplink3</v>
      </c>
    </row>
    <row r="222" spans="1:48" x14ac:dyDescent="0.25">
      <c r="A222" s="9">
        <v>25678</v>
      </c>
      <c r="B222" s="10" t="s">
        <v>13</v>
      </c>
      <c r="C222" s="10" t="s">
        <v>338</v>
      </c>
      <c r="D222" s="10" t="s">
        <v>1161</v>
      </c>
      <c r="E222" s="10" t="s">
        <v>450</v>
      </c>
      <c r="F222" s="10">
        <v>34.078226749999999</v>
      </c>
      <c r="G222" s="10">
        <v>44.934447550000002</v>
      </c>
      <c r="H222" s="11">
        <v>164</v>
      </c>
      <c r="I222" s="11">
        <v>984</v>
      </c>
      <c r="J222" s="11"/>
      <c r="K222" s="11"/>
      <c r="L222" s="11"/>
      <c r="M222" s="11"/>
      <c r="N222" s="11"/>
      <c r="O222" s="11">
        <v>154</v>
      </c>
      <c r="P222" s="11"/>
      <c r="Q222" s="11"/>
      <c r="R222" s="11"/>
      <c r="S222" s="11"/>
      <c r="T222" s="11"/>
      <c r="U222" s="11"/>
      <c r="V222" s="11"/>
      <c r="W222" s="11"/>
      <c r="X222" s="11"/>
      <c r="Y222" s="11">
        <v>10</v>
      </c>
      <c r="Z222" s="11"/>
      <c r="AA222" s="11"/>
      <c r="AB222" s="11"/>
      <c r="AC222" s="11">
        <v>74</v>
      </c>
      <c r="AD222" s="11"/>
      <c r="AE222" s="11"/>
      <c r="AF222" s="11"/>
      <c r="AG222" s="11"/>
      <c r="AH222" s="11"/>
      <c r="AI222" s="11"/>
      <c r="AJ222" s="11"/>
      <c r="AK222" s="11">
        <v>90</v>
      </c>
      <c r="AL222" s="11"/>
      <c r="AM222" s="11"/>
      <c r="AN222" s="11"/>
      <c r="AO222" s="11"/>
      <c r="AP222" s="11">
        <v>164</v>
      </c>
      <c r="AQ222" s="11"/>
      <c r="AR222" s="11"/>
      <c r="AS222" s="11"/>
      <c r="AT222" s="20" t="str">
        <f>HYPERLINK("http://www.openstreetmap.org/?mlat=34.0782&amp;mlon=44.9344&amp;zoom=12#map=12/34.0782/44.9344","Maplink1")</f>
        <v>Maplink1</v>
      </c>
      <c r="AU222" s="20" t="str">
        <f>HYPERLINK("https://www.google.iq/maps/search/+34.0782,44.9344/@34.0782,44.9344,14z?hl=en","Maplink2")</f>
        <v>Maplink2</v>
      </c>
      <c r="AV222" s="20" t="str">
        <f>HYPERLINK("http://www.bing.com/maps/?lvl=14&amp;sty=h&amp;cp=34.0782~44.9344&amp;sp=point.34.0782_44.9344","Maplink3")</f>
        <v>Maplink3</v>
      </c>
    </row>
    <row r="223" spans="1:48" x14ac:dyDescent="0.25">
      <c r="A223" s="9">
        <v>26076</v>
      </c>
      <c r="B223" s="10" t="s">
        <v>13</v>
      </c>
      <c r="C223" s="10" t="s">
        <v>338</v>
      </c>
      <c r="D223" s="10" t="s">
        <v>451</v>
      </c>
      <c r="E223" s="10" t="s">
        <v>452</v>
      </c>
      <c r="F223" s="10">
        <v>34.069050740000002</v>
      </c>
      <c r="G223" s="10">
        <v>44.902165230000001</v>
      </c>
      <c r="H223" s="11">
        <v>200</v>
      </c>
      <c r="I223" s="11">
        <v>1200</v>
      </c>
      <c r="J223" s="11"/>
      <c r="K223" s="11"/>
      <c r="L223" s="11"/>
      <c r="M223" s="11"/>
      <c r="N223" s="11"/>
      <c r="O223" s="11">
        <v>200</v>
      </c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>
        <v>35</v>
      </c>
      <c r="AD223" s="11"/>
      <c r="AE223" s="11"/>
      <c r="AF223" s="11"/>
      <c r="AG223" s="11"/>
      <c r="AH223" s="11"/>
      <c r="AI223" s="11"/>
      <c r="AJ223" s="11"/>
      <c r="AK223" s="11">
        <v>165</v>
      </c>
      <c r="AL223" s="11"/>
      <c r="AM223" s="11"/>
      <c r="AN223" s="11">
        <v>200</v>
      </c>
      <c r="AO223" s="11"/>
      <c r="AP223" s="11"/>
      <c r="AQ223" s="11"/>
      <c r="AR223" s="11"/>
      <c r="AS223" s="11"/>
      <c r="AT223" s="20" t="str">
        <f>HYPERLINK("http://www.openstreetmap.org/?mlat=34.0691&amp;mlon=44.9022&amp;zoom=12#map=12/34.0691/44.9022","Maplink1")</f>
        <v>Maplink1</v>
      </c>
      <c r="AU223" s="20" t="str">
        <f>HYPERLINK("https://www.google.iq/maps/search/+34.0691,44.9022/@34.0691,44.9022,14z?hl=en","Maplink2")</f>
        <v>Maplink2</v>
      </c>
      <c r="AV223" s="20" t="str">
        <f>HYPERLINK("http://www.bing.com/maps/?lvl=14&amp;sty=h&amp;cp=34.0691~44.9022&amp;sp=point.34.0691_44.9022","Maplink3")</f>
        <v>Maplink3</v>
      </c>
    </row>
    <row r="224" spans="1:48" x14ac:dyDescent="0.25">
      <c r="A224" s="9">
        <v>27160</v>
      </c>
      <c r="B224" s="10" t="s">
        <v>13</v>
      </c>
      <c r="C224" s="10" t="s">
        <v>338</v>
      </c>
      <c r="D224" s="10" t="s">
        <v>453</v>
      </c>
      <c r="E224" s="10" t="s">
        <v>454</v>
      </c>
      <c r="F224" s="10">
        <v>34.311416190000003</v>
      </c>
      <c r="G224" s="10">
        <v>44.811089959999997</v>
      </c>
      <c r="H224" s="11">
        <v>75</v>
      </c>
      <c r="I224" s="11">
        <v>450</v>
      </c>
      <c r="J224" s="11"/>
      <c r="K224" s="11"/>
      <c r="L224" s="11"/>
      <c r="M224" s="11"/>
      <c r="N224" s="11"/>
      <c r="O224" s="11"/>
      <c r="P224" s="11"/>
      <c r="Q224" s="11"/>
      <c r="R224" s="11">
        <v>75</v>
      </c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>
        <v>75</v>
      </c>
      <c r="AE224" s="11"/>
      <c r="AF224" s="11"/>
      <c r="AG224" s="11"/>
      <c r="AH224" s="11"/>
      <c r="AI224" s="11"/>
      <c r="AJ224" s="11"/>
      <c r="AK224" s="11"/>
      <c r="AL224" s="11"/>
      <c r="AM224" s="11"/>
      <c r="AN224" s="11">
        <v>75</v>
      </c>
      <c r="AO224" s="11"/>
      <c r="AP224" s="11"/>
      <c r="AQ224" s="11"/>
      <c r="AR224" s="11"/>
      <c r="AS224" s="11"/>
      <c r="AT224" s="20" t="str">
        <f>HYPERLINK("http://www.openstreetmap.org/?mlat=34.3114&amp;mlon=44.8111&amp;zoom=12#map=12/34.3114/44.8111","Maplink1")</f>
        <v>Maplink1</v>
      </c>
      <c r="AU224" s="20" t="str">
        <f>HYPERLINK("https://www.google.iq/maps/search/+34.3114,44.8111/@34.3114,44.8111,14z?hl=en","Maplink2")</f>
        <v>Maplink2</v>
      </c>
      <c r="AV224" s="20" t="str">
        <f>HYPERLINK("http://www.bing.com/maps/?lvl=14&amp;sty=h&amp;cp=34.3114~44.8111&amp;sp=point.34.3114_44.8111","Maplink3")</f>
        <v>Maplink3</v>
      </c>
    </row>
    <row r="225" spans="1:48" x14ac:dyDescent="0.25">
      <c r="A225" s="9">
        <v>25673</v>
      </c>
      <c r="B225" s="10" t="s">
        <v>13</v>
      </c>
      <c r="C225" s="10" t="s">
        <v>338</v>
      </c>
      <c r="D225" s="10" t="s">
        <v>455</v>
      </c>
      <c r="E225" s="10" t="s">
        <v>456</v>
      </c>
      <c r="F225" s="10">
        <v>34.05390233</v>
      </c>
      <c r="G225" s="10">
        <v>44.892276699999996</v>
      </c>
      <c r="H225" s="11">
        <v>549</v>
      </c>
      <c r="I225" s="11">
        <v>3294</v>
      </c>
      <c r="J225" s="11"/>
      <c r="K225" s="11"/>
      <c r="L225" s="11"/>
      <c r="M225" s="11"/>
      <c r="N225" s="11"/>
      <c r="O225" s="11">
        <v>349</v>
      </c>
      <c r="P225" s="11"/>
      <c r="Q225" s="11"/>
      <c r="R225" s="11">
        <v>100</v>
      </c>
      <c r="S225" s="11"/>
      <c r="T225" s="11"/>
      <c r="U225" s="11"/>
      <c r="V225" s="11"/>
      <c r="W225" s="11"/>
      <c r="X225" s="11"/>
      <c r="Y225" s="11">
        <v>100</v>
      </c>
      <c r="Z225" s="11"/>
      <c r="AA225" s="11"/>
      <c r="AB225" s="11"/>
      <c r="AC225" s="11">
        <v>485</v>
      </c>
      <c r="AD225" s="11"/>
      <c r="AE225" s="11"/>
      <c r="AF225" s="11"/>
      <c r="AG225" s="11"/>
      <c r="AH225" s="11"/>
      <c r="AI225" s="11"/>
      <c r="AJ225" s="11"/>
      <c r="AK225" s="11">
        <v>64</v>
      </c>
      <c r="AL225" s="11"/>
      <c r="AM225" s="11"/>
      <c r="AN225" s="11"/>
      <c r="AO225" s="11"/>
      <c r="AP225" s="11">
        <v>549</v>
      </c>
      <c r="AQ225" s="11"/>
      <c r="AR225" s="11"/>
      <c r="AS225" s="11"/>
      <c r="AT225" s="20" t="str">
        <f>HYPERLINK("http://www.openstreetmap.org/?mlat=34.0539&amp;mlon=44.8923&amp;zoom=12#map=12/34.0539/44.8923","Maplink1")</f>
        <v>Maplink1</v>
      </c>
      <c r="AU225" s="20" t="str">
        <f>HYPERLINK("https://www.google.iq/maps/search/+34.0539,44.8923/@34.0539,44.8923,14z?hl=en","Maplink2")</f>
        <v>Maplink2</v>
      </c>
      <c r="AV225" s="20" t="str">
        <f>HYPERLINK("http://www.bing.com/maps/?lvl=14&amp;sty=h&amp;cp=34.0539~44.8923&amp;sp=point.34.0539_44.8923","Maplink3")</f>
        <v>Maplink3</v>
      </c>
    </row>
    <row r="226" spans="1:48" x14ac:dyDescent="0.25">
      <c r="A226" s="9">
        <v>25672</v>
      </c>
      <c r="B226" s="10" t="s">
        <v>13</v>
      </c>
      <c r="C226" s="10" t="s">
        <v>338</v>
      </c>
      <c r="D226" s="10" t="s">
        <v>457</v>
      </c>
      <c r="E226" s="10" t="s">
        <v>458</v>
      </c>
      <c r="F226" s="10">
        <v>34.060212810000003</v>
      </c>
      <c r="G226" s="10">
        <v>44.850548240000002</v>
      </c>
      <c r="H226" s="11">
        <v>240</v>
      </c>
      <c r="I226" s="11">
        <v>1440</v>
      </c>
      <c r="J226" s="11"/>
      <c r="K226" s="11"/>
      <c r="L226" s="11"/>
      <c r="M226" s="11"/>
      <c r="N226" s="11"/>
      <c r="O226" s="11">
        <v>200</v>
      </c>
      <c r="P226" s="11"/>
      <c r="Q226" s="11"/>
      <c r="R226" s="11">
        <v>20</v>
      </c>
      <c r="S226" s="11"/>
      <c r="T226" s="11"/>
      <c r="U226" s="11"/>
      <c r="V226" s="11"/>
      <c r="W226" s="11"/>
      <c r="X226" s="11"/>
      <c r="Y226" s="11">
        <v>20</v>
      </c>
      <c r="Z226" s="11"/>
      <c r="AA226" s="11"/>
      <c r="AB226" s="11"/>
      <c r="AC226" s="11">
        <v>240</v>
      </c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>
        <v>240</v>
      </c>
      <c r="AQ226" s="11"/>
      <c r="AR226" s="11"/>
      <c r="AS226" s="11"/>
      <c r="AT226" s="20" t="str">
        <f>HYPERLINK("http://www.openstreetmap.org/?mlat=34.0602&amp;mlon=44.8505&amp;zoom=12#map=12/34.0602/44.8505","Maplink1")</f>
        <v>Maplink1</v>
      </c>
      <c r="AU226" s="20" t="str">
        <f>HYPERLINK("https://www.google.iq/maps/search/+34.0602,44.8505/@34.0602,44.8505,14z?hl=en","Maplink2")</f>
        <v>Maplink2</v>
      </c>
      <c r="AV226" s="20" t="str">
        <f>HYPERLINK("http://www.bing.com/maps/?lvl=14&amp;sty=h&amp;cp=34.0602~44.8505&amp;sp=point.34.0602_44.8505","Maplink3")</f>
        <v>Maplink3</v>
      </c>
    </row>
    <row r="227" spans="1:48" x14ac:dyDescent="0.25">
      <c r="A227" s="9">
        <v>25677</v>
      </c>
      <c r="B227" s="10" t="s">
        <v>13</v>
      </c>
      <c r="C227" s="10" t="s">
        <v>338</v>
      </c>
      <c r="D227" s="10" t="s">
        <v>459</v>
      </c>
      <c r="E227" s="10" t="s">
        <v>460</v>
      </c>
      <c r="F227" s="10">
        <v>34.02455114</v>
      </c>
      <c r="G227" s="10">
        <v>44.866167089999998</v>
      </c>
      <c r="H227" s="11">
        <v>100</v>
      </c>
      <c r="I227" s="11">
        <v>600</v>
      </c>
      <c r="J227" s="11"/>
      <c r="K227" s="11"/>
      <c r="L227" s="11"/>
      <c r="M227" s="11"/>
      <c r="N227" s="11"/>
      <c r="O227" s="11">
        <v>100</v>
      </c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>
        <v>100</v>
      </c>
      <c r="AL227" s="11"/>
      <c r="AM227" s="11"/>
      <c r="AN227" s="11"/>
      <c r="AO227" s="11"/>
      <c r="AP227" s="11">
        <v>100</v>
      </c>
      <c r="AQ227" s="11"/>
      <c r="AR227" s="11"/>
      <c r="AS227" s="11"/>
      <c r="AT227" s="20" t="str">
        <f>HYPERLINK("http://www.openstreetmap.org/?mlat=34.0246&amp;mlon=44.8662&amp;zoom=12#map=12/34.0246/44.8662","Maplink1")</f>
        <v>Maplink1</v>
      </c>
      <c r="AU227" s="20" t="str">
        <f>HYPERLINK("https://www.google.iq/maps/search/+34.0246,44.8662/@34.0246,44.8662,14z?hl=en","Maplink2")</f>
        <v>Maplink2</v>
      </c>
      <c r="AV227" s="20" t="str">
        <f>HYPERLINK("http://www.bing.com/maps/?lvl=14&amp;sty=h&amp;cp=34.0246~44.8662&amp;sp=point.34.0246_44.8662","Maplink3")</f>
        <v>Maplink3</v>
      </c>
    </row>
    <row r="228" spans="1:48" x14ac:dyDescent="0.25">
      <c r="A228" s="9">
        <v>27171</v>
      </c>
      <c r="B228" s="10" t="s">
        <v>13</v>
      </c>
      <c r="C228" s="10" t="s">
        <v>338</v>
      </c>
      <c r="D228" s="10" t="s">
        <v>461</v>
      </c>
      <c r="E228" s="10" t="s">
        <v>462</v>
      </c>
      <c r="F228" s="10">
        <v>34.306635361300003</v>
      </c>
      <c r="G228" s="10">
        <v>44.548739375300002</v>
      </c>
      <c r="H228" s="11">
        <v>5</v>
      </c>
      <c r="I228" s="11">
        <v>30</v>
      </c>
      <c r="J228" s="11"/>
      <c r="K228" s="11"/>
      <c r="L228" s="11"/>
      <c r="M228" s="11"/>
      <c r="N228" s="11"/>
      <c r="O228" s="11"/>
      <c r="P228" s="11"/>
      <c r="Q228" s="11"/>
      <c r="R228" s="11">
        <v>5</v>
      </c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>
        <v>5</v>
      </c>
      <c r="AE228" s="11"/>
      <c r="AF228" s="11"/>
      <c r="AG228" s="11"/>
      <c r="AH228" s="11"/>
      <c r="AI228" s="11"/>
      <c r="AJ228" s="11"/>
      <c r="AK228" s="11"/>
      <c r="AL228" s="11"/>
      <c r="AM228" s="11"/>
      <c r="AN228" s="11">
        <v>5</v>
      </c>
      <c r="AO228" s="11"/>
      <c r="AP228" s="11"/>
      <c r="AQ228" s="11"/>
      <c r="AR228" s="11"/>
      <c r="AS228" s="11"/>
      <c r="AT228" s="20" t="str">
        <f>HYPERLINK("http://www.openstreetmap.org/?mlat=34.3066&amp;mlon=44.5487&amp;zoom=12#map=12/34.3066/44.5487","Maplink1")</f>
        <v>Maplink1</v>
      </c>
      <c r="AU228" s="20" t="str">
        <f>HYPERLINK("https://www.google.iq/maps/search/+34.3066,44.5487/@34.3066,44.5487,14z?hl=en","Maplink2")</f>
        <v>Maplink2</v>
      </c>
      <c r="AV228" s="20" t="str">
        <f>HYPERLINK("http://www.bing.com/maps/?lvl=14&amp;sty=h&amp;cp=34.3066~44.5487&amp;sp=point.34.3066_44.5487","Maplink3")</f>
        <v>Maplink3</v>
      </c>
    </row>
    <row r="229" spans="1:48" x14ac:dyDescent="0.25">
      <c r="A229" s="9">
        <v>27170</v>
      </c>
      <c r="B229" s="10" t="s">
        <v>13</v>
      </c>
      <c r="C229" s="10" t="s">
        <v>338</v>
      </c>
      <c r="D229" s="10" t="s">
        <v>463</v>
      </c>
      <c r="E229" s="10" t="s">
        <v>464</v>
      </c>
      <c r="F229" s="10">
        <v>34.21996807</v>
      </c>
      <c r="G229" s="10">
        <v>44.468399009999999</v>
      </c>
      <c r="H229" s="11">
        <v>5</v>
      </c>
      <c r="I229" s="11">
        <v>30</v>
      </c>
      <c r="J229" s="11"/>
      <c r="K229" s="11"/>
      <c r="L229" s="11"/>
      <c r="M229" s="11"/>
      <c r="N229" s="11"/>
      <c r="O229" s="11"/>
      <c r="P229" s="11"/>
      <c r="Q229" s="11"/>
      <c r="R229" s="11">
        <v>5</v>
      </c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>
        <v>5</v>
      </c>
      <c r="AE229" s="11"/>
      <c r="AF229" s="11"/>
      <c r="AG229" s="11"/>
      <c r="AH229" s="11"/>
      <c r="AI229" s="11"/>
      <c r="AJ229" s="11"/>
      <c r="AK229" s="11"/>
      <c r="AL229" s="11"/>
      <c r="AM229" s="11"/>
      <c r="AN229" s="11">
        <v>5</v>
      </c>
      <c r="AO229" s="11"/>
      <c r="AP229" s="11"/>
      <c r="AQ229" s="11"/>
      <c r="AR229" s="11"/>
      <c r="AS229" s="11"/>
      <c r="AT229" s="20" t="str">
        <f>HYPERLINK("http://www.openstreetmap.org/?mlat=34.22&amp;mlon=44.4684&amp;zoom=12#map=12/34.22/44.4684","Maplink1")</f>
        <v>Maplink1</v>
      </c>
      <c r="AU229" s="20" t="str">
        <f>HYPERLINK("https://www.google.iq/maps/search/+34.22,44.4684/@34.22,44.4684,14z?hl=en","Maplink2")</f>
        <v>Maplink2</v>
      </c>
      <c r="AV229" s="20" t="str">
        <f>HYPERLINK("http://www.bing.com/maps/?lvl=14&amp;sty=h&amp;cp=34.22~44.4684&amp;sp=point.34.22_44.4684","Maplink3")</f>
        <v>Maplink3</v>
      </c>
    </row>
    <row r="230" spans="1:48" x14ac:dyDescent="0.25">
      <c r="A230" s="9">
        <v>27167</v>
      </c>
      <c r="B230" s="10" t="s">
        <v>13</v>
      </c>
      <c r="C230" s="10" t="s">
        <v>338</v>
      </c>
      <c r="D230" s="10" t="s">
        <v>465</v>
      </c>
      <c r="E230" s="10" t="s">
        <v>466</v>
      </c>
      <c r="F230" s="10">
        <v>34.204378949999999</v>
      </c>
      <c r="G230" s="10">
        <v>44.494994060000003</v>
      </c>
      <c r="H230" s="11">
        <v>14</v>
      </c>
      <c r="I230" s="11">
        <v>84</v>
      </c>
      <c r="J230" s="11"/>
      <c r="K230" s="11"/>
      <c r="L230" s="11"/>
      <c r="M230" s="11"/>
      <c r="N230" s="11"/>
      <c r="O230" s="11"/>
      <c r="P230" s="11"/>
      <c r="Q230" s="11"/>
      <c r="R230" s="11">
        <v>14</v>
      </c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>
        <v>14</v>
      </c>
      <c r="AE230" s="11"/>
      <c r="AF230" s="11"/>
      <c r="AG230" s="11"/>
      <c r="AH230" s="11"/>
      <c r="AI230" s="11"/>
      <c r="AJ230" s="11"/>
      <c r="AK230" s="11"/>
      <c r="AL230" s="11"/>
      <c r="AM230" s="11"/>
      <c r="AN230" s="11">
        <v>14</v>
      </c>
      <c r="AO230" s="11"/>
      <c r="AP230" s="11"/>
      <c r="AQ230" s="11"/>
      <c r="AR230" s="11"/>
      <c r="AS230" s="11"/>
      <c r="AT230" s="20" t="str">
        <f>HYPERLINK("http://www.openstreetmap.org/?mlat=34.2044&amp;mlon=44.495&amp;zoom=12#map=12/34.2044/44.495","Maplink1")</f>
        <v>Maplink1</v>
      </c>
      <c r="AU230" s="20" t="str">
        <f>HYPERLINK("https://www.google.iq/maps/search/+34.2044,44.495/@34.2044,44.495,14z?hl=en","Maplink2")</f>
        <v>Maplink2</v>
      </c>
      <c r="AV230" s="20" t="str">
        <f>HYPERLINK("http://www.bing.com/maps/?lvl=14&amp;sty=h&amp;cp=34.2044~44.495&amp;sp=point.34.2044_44.495","Maplink3")</f>
        <v>Maplink3</v>
      </c>
    </row>
    <row r="231" spans="1:48" x14ac:dyDescent="0.25">
      <c r="A231" s="9">
        <v>27179</v>
      </c>
      <c r="B231" s="10" t="s">
        <v>13</v>
      </c>
      <c r="C231" s="10" t="s">
        <v>338</v>
      </c>
      <c r="D231" s="10" t="s">
        <v>467</v>
      </c>
      <c r="E231" s="10" t="s">
        <v>468</v>
      </c>
      <c r="F231" s="10">
        <v>34.174874989999999</v>
      </c>
      <c r="G231" s="10">
        <v>44.42334065</v>
      </c>
      <c r="H231" s="11">
        <v>120</v>
      </c>
      <c r="I231" s="11">
        <v>720</v>
      </c>
      <c r="J231" s="11"/>
      <c r="K231" s="11"/>
      <c r="L231" s="11"/>
      <c r="M231" s="11"/>
      <c r="N231" s="11"/>
      <c r="O231" s="11"/>
      <c r="P231" s="11"/>
      <c r="Q231" s="11"/>
      <c r="R231" s="11">
        <v>120</v>
      </c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>
        <v>120</v>
      </c>
      <c r="AE231" s="11"/>
      <c r="AF231" s="11"/>
      <c r="AG231" s="11"/>
      <c r="AH231" s="11"/>
      <c r="AI231" s="11"/>
      <c r="AJ231" s="11"/>
      <c r="AK231" s="11"/>
      <c r="AL231" s="11"/>
      <c r="AM231" s="11"/>
      <c r="AN231" s="11">
        <v>120</v>
      </c>
      <c r="AO231" s="11"/>
      <c r="AP231" s="11"/>
      <c r="AQ231" s="11"/>
      <c r="AR231" s="11"/>
      <c r="AS231" s="11"/>
      <c r="AT231" s="20" t="str">
        <f>HYPERLINK("http://www.openstreetmap.org/?mlat=34.1749&amp;mlon=44.4233&amp;zoom=12#map=12/34.1749/44.4233","Maplink1")</f>
        <v>Maplink1</v>
      </c>
      <c r="AU231" s="20" t="str">
        <f>HYPERLINK("https://www.google.iq/maps/search/+34.1749,44.4233/@34.1749,44.4233,14z?hl=en","Maplink2")</f>
        <v>Maplink2</v>
      </c>
      <c r="AV231" s="20" t="str">
        <f>HYPERLINK("http://www.bing.com/maps/?lvl=14&amp;sty=h&amp;cp=34.1749~44.4233&amp;sp=point.34.1749_44.4233","Maplink3")</f>
        <v>Maplink3</v>
      </c>
    </row>
    <row r="232" spans="1:48" x14ac:dyDescent="0.25">
      <c r="A232" s="9">
        <v>27154</v>
      </c>
      <c r="B232" s="10" t="s">
        <v>13</v>
      </c>
      <c r="C232" s="10" t="s">
        <v>338</v>
      </c>
      <c r="D232" s="10" t="s">
        <v>469</v>
      </c>
      <c r="E232" s="10" t="s">
        <v>470</v>
      </c>
      <c r="F232" s="10">
        <v>34.1223563</v>
      </c>
      <c r="G232" s="10">
        <v>44.597043059999997</v>
      </c>
      <c r="H232" s="11">
        <v>47</v>
      </c>
      <c r="I232" s="11">
        <v>282</v>
      </c>
      <c r="J232" s="11"/>
      <c r="K232" s="11"/>
      <c r="L232" s="11"/>
      <c r="M232" s="11"/>
      <c r="N232" s="11"/>
      <c r="O232" s="11"/>
      <c r="P232" s="11"/>
      <c r="Q232" s="11"/>
      <c r="R232" s="11">
        <v>47</v>
      </c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>
        <v>47</v>
      </c>
      <c r="AL232" s="11"/>
      <c r="AM232" s="11"/>
      <c r="AN232" s="11">
        <v>47</v>
      </c>
      <c r="AO232" s="11"/>
      <c r="AP232" s="11"/>
      <c r="AQ232" s="11"/>
      <c r="AR232" s="11"/>
      <c r="AS232" s="11"/>
      <c r="AT232" s="20" t="str">
        <f>HYPERLINK("http://www.openstreetmap.org/?mlat=34.1224&amp;mlon=44.597&amp;zoom=12#map=12/34.1224/44.597","Maplink1")</f>
        <v>Maplink1</v>
      </c>
      <c r="AU232" s="20" t="str">
        <f>HYPERLINK("https://www.google.iq/maps/search/+34.1224,44.597/@34.1224,44.597,14z?hl=en","Maplink2")</f>
        <v>Maplink2</v>
      </c>
      <c r="AV232" s="20" t="str">
        <f>HYPERLINK("http://www.bing.com/maps/?lvl=14&amp;sty=h&amp;cp=34.1224~44.597&amp;sp=point.34.1224_44.597","Maplink3")</f>
        <v>Maplink3</v>
      </c>
    </row>
    <row r="233" spans="1:48" x14ac:dyDescent="0.25">
      <c r="A233" s="9">
        <v>21221</v>
      </c>
      <c r="B233" s="10" t="s">
        <v>13</v>
      </c>
      <c r="C233" s="10" t="s">
        <v>338</v>
      </c>
      <c r="D233" s="10" t="s">
        <v>471</v>
      </c>
      <c r="E233" s="10" t="s">
        <v>472</v>
      </c>
      <c r="F233" s="10">
        <v>34.220855456300001</v>
      </c>
      <c r="G233" s="10">
        <v>44.531554183099999</v>
      </c>
      <c r="H233" s="11">
        <v>55</v>
      </c>
      <c r="I233" s="11">
        <v>330</v>
      </c>
      <c r="J233" s="11"/>
      <c r="K233" s="11"/>
      <c r="L233" s="11"/>
      <c r="M233" s="11"/>
      <c r="N233" s="11"/>
      <c r="O233" s="11"/>
      <c r="P233" s="11"/>
      <c r="Q233" s="11"/>
      <c r="R233" s="11">
        <v>55</v>
      </c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>
        <v>55</v>
      </c>
      <c r="AE233" s="11"/>
      <c r="AF233" s="11"/>
      <c r="AG233" s="11"/>
      <c r="AH233" s="11"/>
      <c r="AI233" s="11"/>
      <c r="AJ233" s="11"/>
      <c r="AK233" s="11"/>
      <c r="AL233" s="11"/>
      <c r="AM233" s="11"/>
      <c r="AN233" s="11">
        <v>55</v>
      </c>
      <c r="AO233" s="11"/>
      <c r="AP233" s="11"/>
      <c r="AQ233" s="11"/>
      <c r="AR233" s="11"/>
      <c r="AS233" s="11"/>
      <c r="AT233" s="20" t="str">
        <f>HYPERLINK("http://www.openstreetmap.org/?mlat=34.2209&amp;mlon=44.5316&amp;zoom=12#map=12/34.2209/44.5316","Maplink1")</f>
        <v>Maplink1</v>
      </c>
      <c r="AU233" s="20" t="str">
        <f>HYPERLINK("https://www.google.iq/maps/search/+34.2209,44.5316/@34.2209,44.5316,14z?hl=en","Maplink2")</f>
        <v>Maplink2</v>
      </c>
      <c r="AV233" s="20" t="str">
        <f>HYPERLINK("http://www.bing.com/maps/?lvl=14&amp;sty=h&amp;cp=34.2209~44.5316&amp;sp=point.34.2209_44.5316","Maplink3")</f>
        <v>Maplink3</v>
      </c>
    </row>
    <row r="234" spans="1:48" x14ac:dyDescent="0.25">
      <c r="A234" s="9">
        <v>27243</v>
      </c>
      <c r="B234" s="10" t="s">
        <v>13</v>
      </c>
      <c r="C234" s="10" t="s">
        <v>338</v>
      </c>
      <c r="D234" s="10" t="s">
        <v>473</v>
      </c>
      <c r="E234" s="10" t="s">
        <v>474</v>
      </c>
      <c r="F234" s="10">
        <v>34.0740999</v>
      </c>
      <c r="G234" s="10">
        <v>44.96577164</v>
      </c>
      <c r="H234" s="11">
        <v>1310</v>
      </c>
      <c r="I234" s="11">
        <v>7860</v>
      </c>
      <c r="J234" s="11"/>
      <c r="K234" s="11"/>
      <c r="L234" s="11"/>
      <c r="M234" s="11"/>
      <c r="N234" s="11"/>
      <c r="O234" s="11">
        <v>1125</v>
      </c>
      <c r="P234" s="11">
        <v>20</v>
      </c>
      <c r="Q234" s="11"/>
      <c r="R234" s="11">
        <v>120</v>
      </c>
      <c r="S234" s="11"/>
      <c r="T234" s="11"/>
      <c r="U234" s="11"/>
      <c r="V234" s="11"/>
      <c r="W234" s="11"/>
      <c r="X234" s="11"/>
      <c r="Y234" s="11">
        <v>45</v>
      </c>
      <c r="Z234" s="11"/>
      <c r="AA234" s="11"/>
      <c r="AB234" s="11"/>
      <c r="AC234" s="11">
        <v>1140</v>
      </c>
      <c r="AD234" s="11">
        <v>145</v>
      </c>
      <c r="AE234" s="11"/>
      <c r="AF234" s="11"/>
      <c r="AG234" s="11"/>
      <c r="AH234" s="11"/>
      <c r="AI234" s="11"/>
      <c r="AJ234" s="11"/>
      <c r="AK234" s="11">
        <v>25</v>
      </c>
      <c r="AL234" s="11"/>
      <c r="AM234" s="11"/>
      <c r="AN234" s="11"/>
      <c r="AO234" s="11"/>
      <c r="AP234" s="11">
        <v>1310</v>
      </c>
      <c r="AQ234" s="11"/>
      <c r="AR234" s="11"/>
      <c r="AS234" s="11"/>
      <c r="AT234" s="20" t="str">
        <f>HYPERLINK("http://www.openstreetmap.org/?mlat=34.0741&amp;mlon=44.9658&amp;zoom=12#map=12/34.0741/44.9658","Maplink1")</f>
        <v>Maplink1</v>
      </c>
      <c r="AU234" s="20" t="str">
        <f>HYPERLINK("https://www.google.iq/maps/search/+34.0741,44.9658/@34.0741,44.9658,14z?hl=en","Maplink2")</f>
        <v>Maplink2</v>
      </c>
      <c r="AV234" s="20" t="str">
        <f>HYPERLINK("http://www.bing.com/maps/?lvl=14&amp;sty=h&amp;cp=34.0741~44.9658&amp;sp=point.34.0741_44.9658","Maplink3")</f>
        <v>Maplink3</v>
      </c>
    </row>
    <row r="235" spans="1:48" x14ac:dyDescent="0.25">
      <c r="A235" s="9">
        <v>27168</v>
      </c>
      <c r="B235" s="10" t="s">
        <v>13</v>
      </c>
      <c r="C235" s="10" t="s">
        <v>338</v>
      </c>
      <c r="D235" s="10" t="s">
        <v>475</v>
      </c>
      <c r="E235" s="10" t="s">
        <v>476</v>
      </c>
      <c r="F235" s="10">
        <v>34.113699539999999</v>
      </c>
      <c r="G235" s="10">
        <v>44.505915600000002</v>
      </c>
      <c r="H235" s="11">
        <v>10</v>
      </c>
      <c r="I235" s="11">
        <v>60</v>
      </c>
      <c r="J235" s="11"/>
      <c r="K235" s="11"/>
      <c r="L235" s="11"/>
      <c r="M235" s="11"/>
      <c r="N235" s="11"/>
      <c r="O235" s="11"/>
      <c r="P235" s="11"/>
      <c r="Q235" s="11"/>
      <c r="R235" s="11">
        <v>10</v>
      </c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>
        <v>10</v>
      </c>
      <c r="AE235" s="11"/>
      <c r="AF235" s="11"/>
      <c r="AG235" s="11"/>
      <c r="AH235" s="11"/>
      <c r="AI235" s="11"/>
      <c r="AJ235" s="11"/>
      <c r="AK235" s="11"/>
      <c r="AL235" s="11"/>
      <c r="AM235" s="11"/>
      <c r="AN235" s="11">
        <v>10</v>
      </c>
      <c r="AO235" s="11"/>
      <c r="AP235" s="11"/>
      <c r="AQ235" s="11"/>
      <c r="AR235" s="11"/>
      <c r="AS235" s="11"/>
      <c r="AT235" s="20" t="str">
        <f>HYPERLINK("http://www.openstreetmap.org/?mlat=34.1137&amp;mlon=44.5059&amp;zoom=12#map=12/34.1137/44.5059","Maplink1")</f>
        <v>Maplink1</v>
      </c>
      <c r="AU235" s="20" t="str">
        <f>HYPERLINK("https://www.google.iq/maps/search/+34.1137,44.5059/@34.1137,44.5059,14z?hl=en","Maplink2")</f>
        <v>Maplink2</v>
      </c>
      <c r="AV235" s="20" t="str">
        <f>HYPERLINK("http://www.bing.com/maps/?lvl=14&amp;sty=h&amp;cp=34.1137~44.5059&amp;sp=point.34.1137_44.5059","Maplink3")</f>
        <v>Maplink3</v>
      </c>
    </row>
    <row r="236" spans="1:48" x14ac:dyDescent="0.25">
      <c r="A236" s="9">
        <v>25682</v>
      </c>
      <c r="B236" s="10" t="s">
        <v>13</v>
      </c>
      <c r="C236" s="10" t="s">
        <v>338</v>
      </c>
      <c r="D236" s="10" t="s">
        <v>477</v>
      </c>
      <c r="E236" s="10" t="s">
        <v>478</v>
      </c>
      <c r="F236" s="10">
        <v>34.04896162</v>
      </c>
      <c r="G236" s="10">
        <v>44.887329119999997</v>
      </c>
      <c r="H236" s="11">
        <v>250</v>
      </c>
      <c r="I236" s="11">
        <v>1500</v>
      </c>
      <c r="J236" s="11"/>
      <c r="K236" s="11"/>
      <c r="L236" s="11"/>
      <c r="M236" s="11"/>
      <c r="N236" s="11"/>
      <c r="O236" s="11">
        <v>130</v>
      </c>
      <c r="P236" s="11"/>
      <c r="Q236" s="11"/>
      <c r="R236" s="11">
        <v>60</v>
      </c>
      <c r="S236" s="11"/>
      <c r="T236" s="11"/>
      <c r="U236" s="11"/>
      <c r="V236" s="11"/>
      <c r="W236" s="11"/>
      <c r="X236" s="11"/>
      <c r="Y236" s="11">
        <v>60</v>
      </c>
      <c r="Z236" s="11"/>
      <c r="AA236" s="11"/>
      <c r="AB236" s="11"/>
      <c r="AC236" s="11">
        <v>150</v>
      </c>
      <c r="AD236" s="11"/>
      <c r="AE236" s="11"/>
      <c r="AF236" s="11"/>
      <c r="AG236" s="11"/>
      <c r="AH236" s="11"/>
      <c r="AI236" s="11"/>
      <c r="AJ236" s="11"/>
      <c r="AK236" s="11">
        <v>100</v>
      </c>
      <c r="AL236" s="11"/>
      <c r="AM236" s="11"/>
      <c r="AN236" s="11"/>
      <c r="AO236" s="11"/>
      <c r="AP236" s="11">
        <v>250</v>
      </c>
      <c r="AQ236" s="11"/>
      <c r="AR236" s="11"/>
      <c r="AS236" s="11"/>
      <c r="AT236" s="20" t="str">
        <f>HYPERLINK("http://www.openstreetmap.org/?mlat=34.049&amp;mlon=44.8873&amp;zoom=12#map=12/34.049/44.8873","Maplink1")</f>
        <v>Maplink1</v>
      </c>
      <c r="AU236" s="20" t="str">
        <f>HYPERLINK("https://www.google.iq/maps/search/+34.049,44.8873/@34.049,44.8873,14z?hl=en","Maplink2")</f>
        <v>Maplink2</v>
      </c>
      <c r="AV236" s="20" t="str">
        <f>HYPERLINK("http://www.bing.com/maps/?lvl=14&amp;sty=h&amp;cp=34.049~44.8873&amp;sp=point.34.049_44.8873","Maplink3")</f>
        <v>Maplink3</v>
      </c>
    </row>
    <row r="237" spans="1:48" x14ac:dyDescent="0.25">
      <c r="A237" s="9">
        <v>25683</v>
      </c>
      <c r="B237" s="10" t="s">
        <v>13</v>
      </c>
      <c r="C237" s="10" t="s">
        <v>338</v>
      </c>
      <c r="D237" s="10" t="s">
        <v>479</v>
      </c>
      <c r="E237" s="10" t="s">
        <v>480</v>
      </c>
      <c r="F237" s="10">
        <v>34.034905369999997</v>
      </c>
      <c r="G237" s="10">
        <v>44.874784589999997</v>
      </c>
      <c r="H237" s="11">
        <v>200</v>
      </c>
      <c r="I237" s="11">
        <v>1200</v>
      </c>
      <c r="J237" s="11"/>
      <c r="K237" s="11"/>
      <c r="L237" s="11"/>
      <c r="M237" s="11"/>
      <c r="N237" s="11"/>
      <c r="O237" s="11">
        <v>126</v>
      </c>
      <c r="P237" s="11"/>
      <c r="Q237" s="11"/>
      <c r="R237" s="11">
        <v>35</v>
      </c>
      <c r="S237" s="11"/>
      <c r="T237" s="11"/>
      <c r="U237" s="11"/>
      <c r="V237" s="11"/>
      <c r="W237" s="11"/>
      <c r="X237" s="11"/>
      <c r="Y237" s="11">
        <v>39</v>
      </c>
      <c r="Z237" s="11"/>
      <c r="AA237" s="11"/>
      <c r="AB237" s="11"/>
      <c r="AC237" s="11">
        <v>143</v>
      </c>
      <c r="AD237" s="11"/>
      <c r="AE237" s="11"/>
      <c r="AF237" s="11"/>
      <c r="AG237" s="11"/>
      <c r="AH237" s="11"/>
      <c r="AI237" s="11"/>
      <c r="AJ237" s="11"/>
      <c r="AK237" s="11">
        <v>57</v>
      </c>
      <c r="AL237" s="11"/>
      <c r="AM237" s="11"/>
      <c r="AN237" s="11"/>
      <c r="AO237" s="11"/>
      <c r="AP237" s="11">
        <v>200</v>
      </c>
      <c r="AQ237" s="11"/>
      <c r="AR237" s="11"/>
      <c r="AS237" s="11"/>
      <c r="AT237" s="20" t="str">
        <f>HYPERLINK("http://www.openstreetmap.org/?mlat=34.0349&amp;mlon=44.8748&amp;zoom=12#map=12/34.0349/44.8748","Maplink1")</f>
        <v>Maplink1</v>
      </c>
      <c r="AU237" s="20" t="str">
        <f>HYPERLINK("https://www.google.iq/maps/search/+34.0349,44.8748/@34.0349,44.8748,14z?hl=en","Maplink2")</f>
        <v>Maplink2</v>
      </c>
      <c r="AV237" s="20" t="str">
        <f>HYPERLINK("http://www.bing.com/maps/?lvl=14&amp;sty=h&amp;cp=34.0349~44.8748&amp;sp=point.34.0349_44.8748","Maplink3")</f>
        <v>Maplink3</v>
      </c>
    </row>
    <row r="238" spans="1:48" x14ac:dyDescent="0.25">
      <c r="A238" s="9">
        <v>25684</v>
      </c>
      <c r="B238" s="10" t="s">
        <v>13</v>
      </c>
      <c r="C238" s="10" t="s">
        <v>338</v>
      </c>
      <c r="D238" s="10" t="s">
        <v>481</v>
      </c>
      <c r="E238" s="10" t="s">
        <v>482</v>
      </c>
      <c r="F238" s="10">
        <v>34.039342380000001</v>
      </c>
      <c r="G238" s="10">
        <v>44.879890009999997</v>
      </c>
      <c r="H238" s="11">
        <v>182</v>
      </c>
      <c r="I238" s="11">
        <v>1092</v>
      </c>
      <c r="J238" s="11"/>
      <c r="K238" s="11"/>
      <c r="L238" s="11"/>
      <c r="M238" s="11"/>
      <c r="N238" s="11"/>
      <c r="O238" s="11">
        <v>182</v>
      </c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>
        <v>182</v>
      </c>
      <c r="AL238" s="11"/>
      <c r="AM238" s="11"/>
      <c r="AN238" s="11"/>
      <c r="AO238" s="11"/>
      <c r="AP238" s="11">
        <v>182</v>
      </c>
      <c r="AQ238" s="11"/>
      <c r="AR238" s="11"/>
      <c r="AS238" s="11"/>
      <c r="AT238" s="20" t="str">
        <f>HYPERLINK("http://www.openstreetmap.org/?mlat=34.0393&amp;mlon=44.8799&amp;zoom=12#map=12/34.0393/44.8799","Maplink1")</f>
        <v>Maplink1</v>
      </c>
      <c r="AU238" s="20" t="str">
        <f>HYPERLINK("https://www.google.iq/maps/search/+34.0393,44.8799/@34.0393,44.8799,14z?hl=en","Maplink2")</f>
        <v>Maplink2</v>
      </c>
      <c r="AV238" s="20" t="str">
        <f>HYPERLINK("http://www.bing.com/maps/?lvl=14&amp;sty=h&amp;cp=34.0393~44.8799&amp;sp=point.34.0393_44.8799","Maplink3")</f>
        <v>Maplink3</v>
      </c>
    </row>
    <row r="239" spans="1:48" x14ac:dyDescent="0.25">
      <c r="A239" s="9">
        <v>27184</v>
      </c>
      <c r="B239" s="10" t="s">
        <v>13</v>
      </c>
      <c r="C239" s="10" t="s">
        <v>338</v>
      </c>
      <c r="D239" s="10" t="s">
        <v>483</v>
      </c>
      <c r="E239" s="10" t="s">
        <v>484</v>
      </c>
      <c r="F239" s="10">
        <v>34.237330970000002</v>
      </c>
      <c r="G239" s="10">
        <v>44.544709249999997</v>
      </c>
      <c r="H239" s="11">
        <v>22</v>
      </c>
      <c r="I239" s="11">
        <v>132</v>
      </c>
      <c r="J239" s="11"/>
      <c r="K239" s="11"/>
      <c r="L239" s="11"/>
      <c r="M239" s="11"/>
      <c r="N239" s="11"/>
      <c r="O239" s="11"/>
      <c r="P239" s="11"/>
      <c r="Q239" s="11"/>
      <c r="R239" s="11">
        <v>22</v>
      </c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>
        <v>22</v>
      </c>
      <c r="AE239" s="11"/>
      <c r="AF239" s="11"/>
      <c r="AG239" s="11"/>
      <c r="AH239" s="11"/>
      <c r="AI239" s="11"/>
      <c r="AJ239" s="11"/>
      <c r="AK239" s="11"/>
      <c r="AL239" s="11"/>
      <c r="AM239" s="11"/>
      <c r="AN239" s="11">
        <v>22</v>
      </c>
      <c r="AO239" s="11"/>
      <c r="AP239" s="11"/>
      <c r="AQ239" s="11"/>
      <c r="AR239" s="11"/>
      <c r="AS239" s="11"/>
      <c r="AT239" s="20" t="str">
        <f>HYPERLINK("http://www.openstreetmap.org/?mlat=34.2373&amp;mlon=44.5447&amp;zoom=12#map=12/34.2373/44.5447","Maplink1")</f>
        <v>Maplink1</v>
      </c>
      <c r="AU239" s="20" t="str">
        <f>HYPERLINK("https://www.google.iq/maps/search/+34.2373,44.5447/@34.2373,44.5447,14z?hl=en","Maplink2")</f>
        <v>Maplink2</v>
      </c>
      <c r="AV239" s="20" t="str">
        <f>HYPERLINK("http://www.bing.com/maps/?lvl=14&amp;sty=h&amp;cp=34.2373~44.5447&amp;sp=point.34.2373_44.5447","Maplink3")</f>
        <v>Maplink3</v>
      </c>
    </row>
    <row r="240" spans="1:48" x14ac:dyDescent="0.25">
      <c r="A240" s="9">
        <v>27175</v>
      </c>
      <c r="B240" s="10" t="s">
        <v>13</v>
      </c>
      <c r="C240" s="10" t="s">
        <v>338</v>
      </c>
      <c r="D240" s="10" t="s">
        <v>485</v>
      </c>
      <c r="E240" s="10" t="s">
        <v>486</v>
      </c>
      <c r="F240" s="10">
        <v>34.044708700000001</v>
      </c>
      <c r="G240" s="10">
        <v>44.416366930000002</v>
      </c>
      <c r="H240" s="11">
        <v>60</v>
      </c>
      <c r="I240" s="11">
        <v>360</v>
      </c>
      <c r="J240" s="11"/>
      <c r="K240" s="11"/>
      <c r="L240" s="11"/>
      <c r="M240" s="11"/>
      <c r="N240" s="11"/>
      <c r="O240" s="11"/>
      <c r="P240" s="11"/>
      <c r="Q240" s="11"/>
      <c r="R240" s="11">
        <v>60</v>
      </c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>
        <v>60</v>
      </c>
      <c r="AE240" s="11"/>
      <c r="AF240" s="11"/>
      <c r="AG240" s="11"/>
      <c r="AH240" s="11"/>
      <c r="AI240" s="11"/>
      <c r="AJ240" s="11"/>
      <c r="AK240" s="11"/>
      <c r="AL240" s="11"/>
      <c r="AM240" s="11"/>
      <c r="AN240" s="11">
        <v>60</v>
      </c>
      <c r="AO240" s="11"/>
      <c r="AP240" s="11"/>
      <c r="AQ240" s="11"/>
      <c r="AR240" s="11"/>
      <c r="AS240" s="11"/>
      <c r="AT240" s="20" t="str">
        <f>HYPERLINK("http://www.openstreetmap.org/?mlat=34.0447&amp;mlon=44.4164&amp;zoom=12#map=12/34.0447/44.4164","Maplink1")</f>
        <v>Maplink1</v>
      </c>
      <c r="AU240" s="20" t="str">
        <f>HYPERLINK("https://www.google.iq/maps/search/+34.0447,44.4164/@34.0447,44.4164,14z?hl=en","Maplink2")</f>
        <v>Maplink2</v>
      </c>
      <c r="AV240" s="20" t="str">
        <f>HYPERLINK("http://www.bing.com/maps/?lvl=14&amp;sty=h&amp;cp=34.0447~44.4164&amp;sp=point.34.0447_44.4164","Maplink3")</f>
        <v>Maplink3</v>
      </c>
    </row>
    <row r="241" spans="1:48" x14ac:dyDescent="0.25">
      <c r="A241" s="9">
        <v>28461</v>
      </c>
      <c r="B241" s="10" t="s">
        <v>13</v>
      </c>
      <c r="C241" s="10" t="s">
        <v>338</v>
      </c>
      <c r="D241" s="10" t="s">
        <v>487</v>
      </c>
      <c r="E241" s="10" t="s">
        <v>488</v>
      </c>
      <c r="F241" s="10">
        <v>34.374587308400002</v>
      </c>
      <c r="G241" s="10">
        <v>44.586983053899999</v>
      </c>
      <c r="H241" s="11">
        <v>75</v>
      </c>
      <c r="I241" s="11">
        <v>450</v>
      </c>
      <c r="J241" s="11"/>
      <c r="K241" s="11"/>
      <c r="L241" s="11"/>
      <c r="M241" s="11"/>
      <c r="N241" s="11"/>
      <c r="O241" s="11">
        <v>75</v>
      </c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>
        <v>75</v>
      </c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>
        <v>75</v>
      </c>
      <c r="AO241" s="11"/>
      <c r="AP241" s="11"/>
      <c r="AQ241" s="11"/>
      <c r="AR241" s="11"/>
      <c r="AS241" s="11"/>
      <c r="AT241" s="20" t="str">
        <f>HYPERLINK("http://www.openstreetmap.org/?mlat=34.3746&amp;mlon=44.587&amp;zoom=12#map=12/34.3746/44.587","Maplink1")</f>
        <v>Maplink1</v>
      </c>
      <c r="AU241" s="20" t="str">
        <f>HYPERLINK("https://www.google.iq/maps/search/+34.3746,44.587/@34.3746,44.587,14z?hl=en","Maplink2")</f>
        <v>Maplink2</v>
      </c>
      <c r="AV241" s="20" t="str">
        <f>HYPERLINK("http://www.bing.com/maps/?lvl=14&amp;sty=h&amp;cp=34.3746~44.587&amp;sp=point.34.3746_44.587","Maplink3")</f>
        <v>Maplink3</v>
      </c>
    </row>
    <row r="242" spans="1:48" x14ac:dyDescent="0.25">
      <c r="A242" s="9">
        <v>27161</v>
      </c>
      <c r="B242" s="10" t="s">
        <v>13</v>
      </c>
      <c r="C242" s="10" t="s">
        <v>338</v>
      </c>
      <c r="D242" s="10" t="s">
        <v>489</v>
      </c>
      <c r="E242" s="10" t="s">
        <v>490</v>
      </c>
      <c r="F242" s="10">
        <v>34.375432904699998</v>
      </c>
      <c r="G242" s="10">
        <v>44.5952517415</v>
      </c>
      <c r="H242" s="11">
        <v>90</v>
      </c>
      <c r="I242" s="11">
        <v>540</v>
      </c>
      <c r="J242" s="11"/>
      <c r="K242" s="11"/>
      <c r="L242" s="11"/>
      <c r="M242" s="11"/>
      <c r="N242" s="11"/>
      <c r="O242" s="11"/>
      <c r="P242" s="11"/>
      <c r="Q242" s="11"/>
      <c r="R242" s="11">
        <v>90</v>
      </c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>
        <v>90</v>
      </c>
      <c r="AE242" s="11"/>
      <c r="AF242" s="11"/>
      <c r="AG242" s="11"/>
      <c r="AH242" s="11"/>
      <c r="AI242" s="11"/>
      <c r="AJ242" s="11"/>
      <c r="AK242" s="11"/>
      <c r="AL242" s="11"/>
      <c r="AM242" s="11"/>
      <c r="AN242" s="11">
        <v>90</v>
      </c>
      <c r="AO242" s="11"/>
      <c r="AP242" s="11"/>
      <c r="AQ242" s="11"/>
      <c r="AR242" s="11"/>
      <c r="AS242" s="11"/>
      <c r="AT242" s="20" t="str">
        <f>HYPERLINK("http://www.openstreetmap.org/?mlat=34.3754&amp;mlon=44.5953&amp;zoom=12#map=12/34.3754/44.5953","Maplink1")</f>
        <v>Maplink1</v>
      </c>
      <c r="AU242" s="20" t="str">
        <f>HYPERLINK("https://www.google.iq/maps/search/+34.3754,44.5953/@34.3754,44.5953,14z?hl=en","Maplink2")</f>
        <v>Maplink2</v>
      </c>
      <c r="AV242" s="20" t="str">
        <f>HYPERLINK("http://www.bing.com/maps/?lvl=14&amp;sty=h&amp;cp=34.3754~44.5953&amp;sp=point.34.3754_44.5953","Maplink3")</f>
        <v>Maplink3</v>
      </c>
    </row>
    <row r="243" spans="1:48" x14ac:dyDescent="0.25">
      <c r="A243" s="9">
        <v>28470</v>
      </c>
      <c r="B243" s="10" t="s">
        <v>13</v>
      </c>
      <c r="C243" s="10" t="s">
        <v>338</v>
      </c>
      <c r="D243" s="10" t="s">
        <v>491</v>
      </c>
      <c r="E243" s="10" t="s">
        <v>492</v>
      </c>
      <c r="F243" s="10">
        <v>34.176217129999998</v>
      </c>
      <c r="G243" s="10">
        <v>44.424383839999997</v>
      </c>
      <c r="H243" s="11">
        <v>43</v>
      </c>
      <c r="I243" s="11">
        <v>258</v>
      </c>
      <c r="J243" s="11"/>
      <c r="K243" s="11"/>
      <c r="L243" s="11"/>
      <c r="M243" s="11"/>
      <c r="N243" s="11"/>
      <c r="O243" s="11">
        <v>43</v>
      </c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>
        <v>43</v>
      </c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>
        <v>43</v>
      </c>
      <c r="AO243" s="11"/>
      <c r="AP243" s="11"/>
      <c r="AQ243" s="11"/>
      <c r="AR243" s="11"/>
      <c r="AS243" s="11"/>
      <c r="AT243" s="20" t="str">
        <f>HYPERLINK("http://www.openstreetmap.org/?mlat=34.1762&amp;mlon=44.4244&amp;zoom=12#map=12/34.1762/44.4244","Maplink1")</f>
        <v>Maplink1</v>
      </c>
      <c r="AU243" s="20" t="str">
        <f>HYPERLINK("https://www.google.iq/maps/search/+34.1762,44.4244/@34.1762,44.4244,14z?hl=en","Maplink2")</f>
        <v>Maplink2</v>
      </c>
      <c r="AV243" s="20" t="str">
        <f>HYPERLINK("http://www.bing.com/maps/?lvl=14&amp;sty=h&amp;cp=34.1762~44.4244&amp;sp=point.34.1762_44.4244","Maplink3")</f>
        <v>Maplink3</v>
      </c>
    </row>
    <row r="244" spans="1:48" x14ac:dyDescent="0.25">
      <c r="A244" s="9">
        <v>27169</v>
      </c>
      <c r="B244" s="10" t="s">
        <v>13</v>
      </c>
      <c r="C244" s="10" t="s">
        <v>338</v>
      </c>
      <c r="D244" s="10" t="s">
        <v>493</v>
      </c>
      <c r="E244" s="10" t="s">
        <v>494</v>
      </c>
      <c r="F244" s="10">
        <v>34.146352329999999</v>
      </c>
      <c r="G244" s="10">
        <v>44.49132899</v>
      </c>
      <c r="H244" s="11">
        <v>7</v>
      </c>
      <c r="I244" s="11">
        <v>42</v>
      </c>
      <c r="J244" s="11"/>
      <c r="K244" s="11"/>
      <c r="L244" s="11"/>
      <c r="M244" s="11"/>
      <c r="N244" s="11"/>
      <c r="O244" s="11"/>
      <c r="P244" s="11"/>
      <c r="Q244" s="11"/>
      <c r="R244" s="11">
        <v>7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>
        <v>7</v>
      </c>
      <c r="AE244" s="11"/>
      <c r="AF244" s="11"/>
      <c r="AG244" s="11"/>
      <c r="AH244" s="11"/>
      <c r="AI244" s="11"/>
      <c r="AJ244" s="11"/>
      <c r="AK244" s="11"/>
      <c r="AL244" s="11"/>
      <c r="AM244" s="11"/>
      <c r="AN244" s="11">
        <v>7</v>
      </c>
      <c r="AO244" s="11"/>
      <c r="AP244" s="11"/>
      <c r="AQ244" s="11"/>
      <c r="AR244" s="11"/>
      <c r="AS244" s="11"/>
      <c r="AT244" s="20" t="str">
        <f>HYPERLINK("http://www.openstreetmap.org/?mlat=34.1464&amp;mlon=44.4913&amp;zoom=12#map=12/34.1464/44.4913","Maplink1")</f>
        <v>Maplink1</v>
      </c>
      <c r="AU244" s="20" t="str">
        <f>HYPERLINK("https://www.google.iq/maps/search/+34.1464,44.4913/@34.1464,44.4913,14z?hl=en","Maplink2")</f>
        <v>Maplink2</v>
      </c>
      <c r="AV244" s="20" t="str">
        <f>HYPERLINK("http://www.bing.com/maps/?lvl=14&amp;sty=h&amp;cp=34.1464~44.4913&amp;sp=point.34.1464_44.4913","Maplink3")</f>
        <v>Maplink3</v>
      </c>
    </row>
    <row r="245" spans="1:48" x14ac:dyDescent="0.25">
      <c r="A245" s="9">
        <v>25669</v>
      </c>
      <c r="B245" s="10" t="s">
        <v>13</v>
      </c>
      <c r="C245" s="10" t="s">
        <v>338</v>
      </c>
      <c r="D245" s="10" t="s">
        <v>495</v>
      </c>
      <c r="E245" s="10" t="s">
        <v>496</v>
      </c>
      <c r="F245" s="10">
        <v>34.056919020000002</v>
      </c>
      <c r="G245" s="10">
        <v>44.88446184</v>
      </c>
      <c r="H245" s="11">
        <v>200</v>
      </c>
      <c r="I245" s="11">
        <v>1200</v>
      </c>
      <c r="J245" s="11"/>
      <c r="K245" s="11"/>
      <c r="L245" s="11"/>
      <c r="M245" s="11"/>
      <c r="N245" s="11"/>
      <c r="O245" s="11">
        <v>83</v>
      </c>
      <c r="P245" s="11"/>
      <c r="Q245" s="11"/>
      <c r="R245" s="11">
        <v>45</v>
      </c>
      <c r="S245" s="11"/>
      <c r="T245" s="11"/>
      <c r="U245" s="11"/>
      <c r="V245" s="11"/>
      <c r="W245" s="11"/>
      <c r="X245" s="11"/>
      <c r="Y245" s="11">
        <v>72</v>
      </c>
      <c r="Z245" s="11"/>
      <c r="AA245" s="11"/>
      <c r="AB245" s="11"/>
      <c r="AC245" s="11">
        <v>180</v>
      </c>
      <c r="AD245" s="11"/>
      <c r="AE245" s="11"/>
      <c r="AF245" s="11"/>
      <c r="AG245" s="11"/>
      <c r="AH245" s="11"/>
      <c r="AI245" s="11"/>
      <c r="AJ245" s="11"/>
      <c r="AK245" s="11">
        <v>20</v>
      </c>
      <c r="AL245" s="11"/>
      <c r="AM245" s="11"/>
      <c r="AN245" s="11"/>
      <c r="AO245" s="11"/>
      <c r="AP245" s="11">
        <v>200</v>
      </c>
      <c r="AQ245" s="11"/>
      <c r="AR245" s="11"/>
      <c r="AS245" s="11"/>
      <c r="AT245" s="20" t="str">
        <f>HYPERLINK("http://www.openstreetmap.org/?mlat=34.0569&amp;mlon=44.8845&amp;zoom=12#map=12/34.0569/44.8845","Maplink1")</f>
        <v>Maplink1</v>
      </c>
      <c r="AU245" s="20" t="str">
        <f>HYPERLINK("https://www.google.iq/maps/search/+34.0569,44.8845/@34.0569,44.8845,14z?hl=en","Maplink2")</f>
        <v>Maplink2</v>
      </c>
      <c r="AV245" s="20" t="str">
        <f>HYPERLINK("http://www.bing.com/maps/?lvl=14&amp;sty=h&amp;cp=34.0569~44.8845&amp;sp=point.34.0569_44.8845","Maplink3")</f>
        <v>Maplink3</v>
      </c>
    </row>
    <row r="246" spans="1:48" x14ac:dyDescent="0.25">
      <c r="A246" s="9">
        <v>11270</v>
      </c>
      <c r="B246" s="10" t="s">
        <v>13</v>
      </c>
      <c r="C246" s="10" t="s">
        <v>338</v>
      </c>
      <c r="D246" s="10" t="s">
        <v>497</v>
      </c>
      <c r="E246" s="10" t="s">
        <v>498</v>
      </c>
      <c r="F246" s="10">
        <v>34.36468541</v>
      </c>
      <c r="G246" s="10">
        <v>44.601793209999997</v>
      </c>
      <c r="H246" s="11">
        <v>100</v>
      </c>
      <c r="I246" s="11">
        <v>600</v>
      </c>
      <c r="J246" s="11"/>
      <c r="K246" s="11"/>
      <c r="L246" s="11"/>
      <c r="M246" s="11"/>
      <c r="N246" s="11"/>
      <c r="O246" s="11"/>
      <c r="P246" s="11"/>
      <c r="Q246" s="11"/>
      <c r="R246" s="11">
        <v>100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>
        <v>100</v>
      </c>
      <c r="AE246" s="11"/>
      <c r="AF246" s="11"/>
      <c r="AG246" s="11"/>
      <c r="AH246" s="11"/>
      <c r="AI246" s="11"/>
      <c r="AJ246" s="11"/>
      <c r="AK246" s="11"/>
      <c r="AL246" s="11"/>
      <c r="AM246" s="11"/>
      <c r="AN246" s="11">
        <v>100</v>
      </c>
      <c r="AO246" s="11"/>
      <c r="AP246" s="11"/>
      <c r="AQ246" s="11"/>
      <c r="AR246" s="11"/>
      <c r="AS246" s="11"/>
      <c r="AT246" s="20" t="str">
        <f>HYPERLINK("http://www.openstreetmap.org/?mlat=34.3647&amp;mlon=44.6018&amp;zoom=12#map=12/34.3647/44.6018","Maplink1")</f>
        <v>Maplink1</v>
      </c>
      <c r="AU246" s="20" t="str">
        <f>HYPERLINK("https://www.google.iq/maps/search/+34.3647,44.6018/@34.3647,44.6018,14z?hl=en","Maplink2")</f>
        <v>Maplink2</v>
      </c>
      <c r="AV246" s="20" t="str">
        <f>HYPERLINK("http://www.bing.com/maps/?lvl=14&amp;sty=h&amp;cp=34.3647~44.6018&amp;sp=point.34.3647_44.6018","Maplink3")</f>
        <v>Maplink3</v>
      </c>
    </row>
    <row r="247" spans="1:48" x14ac:dyDescent="0.25">
      <c r="A247" s="9">
        <v>27180</v>
      </c>
      <c r="B247" s="10" t="s">
        <v>13</v>
      </c>
      <c r="C247" s="10" t="s">
        <v>338</v>
      </c>
      <c r="D247" s="10" t="s">
        <v>499</v>
      </c>
      <c r="E247" s="10" t="s">
        <v>500</v>
      </c>
      <c r="F247" s="10">
        <v>34.211755480000001</v>
      </c>
      <c r="G247" s="10">
        <v>44.48603335</v>
      </c>
      <c r="H247" s="11">
        <v>120</v>
      </c>
      <c r="I247" s="11">
        <v>720</v>
      </c>
      <c r="J247" s="11"/>
      <c r="K247" s="11"/>
      <c r="L247" s="11"/>
      <c r="M247" s="11"/>
      <c r="N247" s="11"/>
      <c r="O247" s="11">
        <v>40</v>
      </c>
      <c r="P247" s="11"/>
      <c r="Q247" s="11"/>
      <c r="R247" s="11">
        <v>80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>
        <v>120</v>
      </c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>
        <v>120</v>
      </c>
      <c r="AO247" s="11"/>
      <c r="AP247" s="11"/>
      <c r="AQ247" s="11"/>
      <c r="AR247" s="11"/>
      <c r="AS247" s="11"/>
      <c r="AT247" s="20" t="str">
        <f>HYPERLINK("http://www.openstreetmap.org/?mlat=34.2118&amp;mlon=44.486&amp;zoom=12#map=12/34.2118/44.486","Maplink1")</f>
        <v>Maplink1</v>
      </c>
      <c r="AU247" s="20" t="str">
        <f>HYPERLINK("https://www.google.iq/maps/search/+34.2118,44.486/@34.2118,44.486,14z?hl=en","Maplink2")</f>
        <v>Maplink2</v>
      </c>
      <c r="AV247" s="20" t="str">
        <f>HYPERLINK("http://www.bing.com/maps/?lvl=14&amp;sty=h&amp;cp=34.2118~44.486&amp;sp=point.34.2118_44.486","Maplink3")</f>
        <v>Maplink3</v>
      </c>
    </row>
    <row r="248" spans="1:48" x14ac:dyDescent="0.25">
      <c r="A248" s="9">
        <v>26030</v>
      </c>
      <c r="B248" s="10" t="s">
        <v>13</v>
      </c>
      <c r="C248" s="10" t="s">
        <v>501</v>
      </c>
      <c r="D248" s="10" t="s">
        <v>502</v>
      </c>
      <c r="E248" s="10" t="s">
        <v>503</v>
      </c>
      <c r="F248" s="10">
        <v>34.046320000000001</v>
      </c>
      <c r="G248" s="10">
        <v>44.958309999999997</v>
      </c>
      <c r="H248" s="11">
        <v>169</v>
      </c>
      <c r="I248" s="11">
        <v>1014</v>
      </c>
      <c r="J248" s="11"/>
      <c r="K248" s="11"/>
      <c r="L248" s="11"/>
      <c r="M248" s="11"/>
      <c r="N248" s="11"/>
      <c r="O248" s="11">
        <v>169</v>
      </c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>
        <v>39</v>
      </c>
      <c r="AD248" s="11"/>
      <c r="AE248" s="11"/>
      <c r="AF248" s="11"/>
      <c r="AG248" s="11"/>
      <c r="AH248" s="11"/>
      <c r="AI248" s="11"/>
      <c r="AJ248" s="11"/>
      <c r="AK248" s="11">
        <v>130</v>
      </c>
      <c r="AL248" s="11"/>
      <c r="AM248" s="11"/>
      <c r="AN248" s="11"/>
      <c r="AO248" s="11"/>
      <c r="AP248" s="11">
        <v>169</v>
      </c>
      <c r="AQ248" s="11"/>
      <c r="AR248" s="11"/>
      <c r="AS248" s="11"/>
      <c r="AT248" s="20" t="str">
        <f>HYPERLINK("http://www.openstreetmap.org/?mlat=34.0463&amp;mlon=44.9583&amp;zoom=12#map=12/34.0463/44.9583","Maplink1")</f>
        <v>Maplink1</v>
      </c>
      <c r="AU248" s="20" t="str">
        <f>HYPERLINK("https://www.google.iq/maps/search/+34.0463,44.9583/@34.0463,44.9583,14z?hl=en","Maplink2")</f>
        <v>Maplink2</v>
      </c>
      <c r="AV248" s="20" t="str">
        <f>HYPERLINK("http://www.bing.com/maps/?lvl=14&amp;sty=h&amp;cp=34.0463~44.9583&amp;sp=point.34.0463_44.9583","Maplink3")</f>
        <v>Maplink3</v>
      </c>
    </row>
    <row r="249" spans="1:48" x14ac:dyDescent="0.25">
      <c r="A249" s="9">
        <v>11358</v>
      </c>
      <c r="B249" s="10" t="s">
        <v>13</v>
      </c>
      <c r="C249" s="10" t="s">
        <v>501</v>
      </c>
      <c r="D249" s="10" t="s">
        <v>504</v>
      </c>
      <c r="E249" s="10" t="s">
        <v>505</v>
      </c>
      <c r="F249" s="10">
        <v>33.962299999999999</v>
      </c>
      <c r="G249" s="10">
        <v>44.8125</v>
      </c>
      <c r="H249" s="11">
        <v>140</v>
      </c>
      <c r="I249" s="11">
        <v>840</v>
      </c>
      <c r="J249" s="11"/>
      <c r="K249" s="11"/>
      <c r="L249" s="11">
        <v>10</v>
      </c>
      <c r="M249" s="11"/>
      <c r="N249" s="11"/>
      <c r="O249" s="11">
        <v>130</v>
      </c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>
        <v>140</v>
      </c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>
        <v>140</v>
      </c>
      <c r="AO249" s="11"/>
      <c r="AP249" s="11"/>
      <c r="AQ249" s="11"/>
      <c r="AR249" s="11"/>
      <c r="AS249" s="11"/>
      <c r="AT249" s="20" t="str">
        <f>HYPERLINK("http://www.openstreetmap.org/?mlat=33.9623&amp;mlon=44.8125&amp;zoom=12#map=12/33.9623/44.8125","Maplink1")</f>
        <v>Maplink1</v>
      </c>
      <c r="AU249" s="20" t="str">
        <f>HYPERLINK("https://www.google.iq/maps/search/+33.9623,44.8125/@33.9623,44.8125,14z?hl=en","Maplink2")</f>
        <v>Maplink2</v>
      </c>
      <c r="AV249" s="20" t="str">
        <f>HYPERLINK("http://www.bing.com/maps/?lvl=14&amp;sty=h&amp;cp=33.9623~44.8125&amp;sp=point.33.9623_44.8125","Maplink3")</f>
        <v>Maplink3</v>
      </c>
    </row>
    <row r="250" spans="1:48" x14ac:dyDescent="0.25">
      <c r="A250" s="9">
        <v>25657</v>
      </c>
      <c r="B250" s="10" t="s">
        <v>13</v>
      </c>
      <c r="C250" s="10" t="s">
        <v>501</v>
      </c>
      <c r="D250" s="10" t="s">
        <v>506</v>
      </c>
      <c r="E250" s="10" t="s">
        <v>507</v>
      </c>
      <c r="F250" s="10">
        <v>34.053269999999998</v>
      </c>
      <c r="G250" s="10">
        <v>44.93674</v>
      </c>
      <c r="H250" s="11">
        <v>205</v>
      </c>
      <c r="I250" s="11">
        <v>1230</v>
      </c>
      <c r="J250" s="11"/>
      <c r="K250" s="11"/>
      <c r="L250" s="11"/>
      <c r="M250" s="11"/>
      <c r="N250" s="11"/>
      <c r="O250" s="11">
        <v>205</v>
      </c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>
        <v>105</v>
      </c>
      <c r="AD250" s="11"/>
      <c r="AE250" s="11"/>
      <c r="AF250" s="11"/>
      <c r="AG250" s="11"/>
      <c r="AH250" s="11"/>
      <c r="AI250" s="11"/>
      <c r="AJ250" s="11"/>
      <c r="AK250" s="11">
        <v>100</v>
      </c>
      <c r="AL250" s="11"/>
      <c r="AM250" s="11"/>
      <c r="AN250" s="11"/>
      <c r="AO250" s="11"/>
      <c r="AP250" s="11">
        <v>205</v>
      </c>
      <c r="AQ250" s="11"/>
      <c r="AR250" s="11"/>
      <c r="AS250" s="11"/>
      <c r="AT250" s="20" t="str">
        <f>HYPERLINK("http://www.openstreetmap.org/?mlat=34.0533&amp;mlon=44.9367&amp;zoom=12#map=12/34.0533/44.9367","Maplink1")</f>
        <v>Maplink1</v>
      </c>
      <c r="AU250" s="20" t="str">
        <f>HYPERLINK("https://www.google.iq/maps/search/+34.0533,44.9367/@34.0533,44.9367,14z?hl=en","Maplink2")</f>
        <v>Maplink2</v>
      </c>
      <c r="AV250" s="20" t="str">
        <f>HYPERLINK("http://www.bing.com/maps/?lvl=14&amp;sty=h&amp;cp=34.0533~44.9367&amp;sp=point.34.0533_44.9367","Maplink3")</f>
        <v>Maplink3</v>
      </c>
    </row>
    <row r="251" spans="1:48" x14ac:dyDescent="0.25">
      <c r="A251" s="9">
        <v>25981</v>
      </c>
      <c r="B251" s="10" t="s">
        <v>13</v>
      </c>
      <c r="C251" s="10" t="s">
        <v>501</v>
      </c>
      <c r="D251" s="10" t="s">
        <v>508</v>
      </c>
      <c r="E251" s="10" t="s">
        <v>509</v>
      </c>
      <c r="F251" s="10">
        <v>34.018000000000001</v>
      </c>
      <c r="G251" s="10">
        <v>44.92456</v>
      </c>
      <c r="H251" s="11">
        <v>317</v>
      </c>
      <c r="I251" s="11">
        <v>1902</v>
      </c>
      <c r="J251" s="11"/>
      <c r="K251" s="11"/>
      <c r="L251" s="11"/>
      <c r="M251" s="11"/>
      <c r="N251" s="11"/>
      <c r="O251" s="11">
        <v>235</v>
      </c>
      <c r="P251" s="11"/>
      <c r="Q251" s="11"/>
      <c r="R251" s="11">
        <v>82</v>
      </c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>
        <v>156</v>
      </c>
      <c r="AD251" s="11"/>
      <c r="AE251" s="11"/>
      <c r="AF251" s="11"/>
      <c r="AG251" s="11"/>
      <c r="AH251" s="11"/>
      <c r="AI251" s="11"/>
      <c r="AJ251" s="11"/>
      <c r="AK251" s="11">
        <v>161</v>
      </c>
      <c r="AL251" s="11"/>
      <c r="AM251" s="11"/>
      <c r="AN251" s="11">
        <v>70</v>
      </c>
      <c r="AO251" s="11"/>
      <c r="AP251" s="11">
        <v>247</v>
      </c>
      <c r="AQ251" s="11"/>
      <c r="AR251" s="11"/>
      <c r="AS251" s="11"/>
      <c r="AT251" s="20" t="str">
        <f>HYPERLINK("http://www.openstreetmap.org/?mlat=34.018&amp;mlon=44.9246&amp;zoom=12#map=12/34.018/44.9246","Maplink1")</f>
        <v>Maplink1</v>
      </c>
      <c r="AU251" s="20" t="str">
        <f>HYPERLINK("https://www.google.iq/maps/search/+34.018,44.9246/@34.018,44.9246,14z?hl=en","Maplink2")</f>
        <v>Maplink2</v>
      </c>
      <c r="AV251" s="20" t="str">
        <f>HYPERLINK("http://www.bing.com/maps/?lvl=14&amp;sty=h&amp;cp=34.018~44.9246&amp;sp=point.34.018_44.9246","Maplink3")</f>
        <v>Maplink3</v>
      </c>
    </row>
    <row r="252" spans="1:48" x14ac:dyDescent="0.25">
      <c r="A252" s="9">
        <v>29674</v>
      </c>
      <c r="B252" s="10" t="s">
        <v>13</v>
      </c>
      <c r="C252" s="10" t="s">
        <v>501</v>
      </c>
      <c r="D252" s="10" t="s">
        <v>343</v>
      </c>
      <c r="E252" s="10" t="s">
        <v>344</v>
      </c>
      <c r="F252" s="10">
        <v>34.008499999999998</v>
      </c>
      <c r="G252" s="10">
        <v>44.894199999999998</v>
      </c>
      <c r="H252" s="11">
        <v>51</v>
      </c>
      <c r="I252" s="11">
        <v>306</v>
      </c>
      <c r="J252" s="11"/>
      <c r="K252" s="11"/>
      <c r="L252" s="11">
        <v>9</v>
      </c>
      <c r="M252" s="11"/>
      <c r="N252" s="11"/>
      <c r="O252" s="11">
        <v>42</v>
      </c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>
        <v>51</v>
      </c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>
        <v>51</v>
      </c>
      <c r="AO252" s="11"/>
      <c r="AP252" s="11"/>
      <c r="AQ252" s="11"/>
      <c r="AR252" s="11"/>
      <c r="AS252" s="11"/>
      <c r="AT252" s="20" t="str">
        <f>HYPERLINK("http://www.openstreetmap.org/?mlat=34.0085&amp;mlon=44.8942&amp;zoom=12#map=12/34.0085/44.8942","Maplink1")</f>
        <v>Maplink1</v>
      </c>
      <c r="AU252" s="20" t="str">
        <f>HYPERLINK("https://www.google.iq/maps/search/+34.0085,44.8942/@34.0085,44.8942,14z?hl=en","Maplink2")</f>
        <v>Maplink2</v>
      </c>
      <c r="AV252" s="20" t="str">
        <f>HYPERLINK("http://www.bing.com/maps/?lvl=14&amp;sty=h&amp;cp=34.0085~44.8942&amp;sp=point.34.0085_44.8942","Maplink3")</f>
        <v>Maplink3</v>
      </c>
    </row>
    <row r="253" spans="1:48" x14ac:dyDescent="0.25">
      <c r="A253" s="9">
        <v>25660</v>
      </c>
      <c r="B253" s="10" t="s">
        <v>13</v>
      </c>
      <c r="C253" s="10" t="s">
        <v>501</v>
      </c>
      <c r="D253" s="10" t="s">
        <v>510</v>
      </c>
      <c r="E253" s="10" t="s">
        <v>511</v>
      </c>
      <c r="F253" s="10">
        <v>34.014960000000002</v>
      </c>
      <c r="G253" s="10">
        <v>44.915779999999998</v>
      </c>
      <c r="H253" s="11">
        <v>93</v>
      </c>
      <c r="I253" s="11">
        <v>558</v>
      </c>
      <c r="J253" s="11">
        <v>55</v>
      </c>
      <c r="K253" s="11"/>
      <c r="L253" s="11"/>
      <c r="M253" s="11"/>
      <c r="N253" s="11"/>
      <c r="O253" s="11">
        <v>28</v>
      </c>
      <c r="P253" s="11"/>
      <c r="Q253" s="11"/>
      <c r="R253" s="11"/>
      <c r="S253" s="11"/>
      <c r="T253" s="11"/>
      <c r="U253" s="11"/>
      <c r="V253" s="11"/>
      <c r="W253" s="11"/>
      <c r="X253" s="11"/>
      <c r="Y253" s="11">
        <v>10</v>
      </c>
      <c r="Z253" s="11"/>
      <c r="AA253" s="11"/>
      <c r="AB253" s="11"/>
      <c r="AC253" s="11">
        <v>55</v>
      </c>
      <c r="AD253" s="11"/>
      <c r="AE253" s="11"/>
      <c r="AF253" s="11"/>
      <c r="AG253" s="11"/>
      <c r="AH253" s="11"/>
      <c r="AI253" s="11"/>
      <c r="AJ253" s="11"/>
      <c r="AK253" s="11">
        <v>38</v>
      </c>
      <c r="AL253" s="11"/>
      <c r="AM253" s="11"/>
      <c r="AN253" s="11"/>
      <c r="AO253" s="11"/>
      <c r="AP253" s="11">
        <v>93</v>
      </c>
      <c r="AQ253" s="11"/>
      <c r="AR253" s="11"/>
      <c r="AS253" s="11"/>
      <c r="AT253" s="20" t="str">
        <f>HYPERLINK("http://www.openstreetmap.org/?mlat=34.015&amp;mlon=44.9158&amp;zoom=12#map=12/34.015/44.9158","Maplink1")</f>
        <v>Maplink1</v>
      </c>
      <c r="AU253" s="20" t="str">
        <f>HYPERLINK("https://www.google.iq/maps/search/+34.015,44.9158/@34.015,44.9158,14z?hl=en","Maplink2")</f>
        <v>Maplink2</v>
      </c>
      <c r="AV253" s="20" t="str">
        <f>HYPERLINK("http://www.bing.com/maps/?lvl=14&amp;sty=h&amp;cp=34.015~44.9158&amp;sp=point.34.015_44.9158","Maplink3")</f>
        <v>Maplink3</v>
      </c>
    </row>
    <row r="254" spans="1:48" x14ac:dyDescent="0.25">
      <c r="A254" s="9">
        <v>25825</v>
      </c>
      <c r="B254" s="10" t="s">
        <v>13</v>
      </c>
      <c r="C254" s="10" t="s">
        <v>501</v>
      </c>
      <c r="D254" s="10" t="s">
        <v>512</v>
      </c>
      <c r="E254" s="10" t="s">
        <v>513</v>
      </c>
      <c r="F254" s="10">
        <v>33.992319999999999</v>
      </c>
      <c r="G254" s="10">
        <v>44.877409999999998</v>
      </c>
      <c r="H254" s="11">
        <v>56</v>
      </c>
      <c r="I254" s="11">
        <v>336</v>
      </c>
      <c r="J254" s="11"/>
      <c r="K254" s="11"/>
      <c r="L254" s="11"/>
      <c r="M254" s="11"/>
      <c r="N254" s="11"/>
      <c r="O254" s="11">
        <v>51</v>
      </c>
      <c r="P254" s="11"/>
      <c r="Q254" s="11"/>
      <c r="R254" s="11">
        <v>5</v>
      </c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>
        <v>25</v>
      </c>
      <c r="AD254" s="11"/>
      <c r="AE254" s="11"/>
      <c r="AF254" s="11"/>
      <c r="AG254" s="11"/>
      <c r="AH254" s="11"/>
      <c r="AI254" s="11"/>
      <c r="AJ254" s="11"/>
      <c r="AK254" s="11">
        <v>31</v>
      </c>
      <c r="AL254" s="11"/>
      <c r="AM254" s="11"/>
      <c r="AN254" s="11">
        <v>56</v>
      </c>
      <c r="AO254" s="11"/>
      <c r="AP254" s="11"/>
      <c r="AQ254" s="11"/>
      <c r="AR254" s="11"/>
      <c r="AS254" s="11"/>
      <c r="AT254" s="20" t="str">
        <f>HYPERLINK("http://www.openstreetmap.org/?mlat=33.9923&amp;mlon=44.8774&amp;zoom=12#map=12/33.9923/44.8774","Maplink1")</f>
        <v>Maplink1</v>
      </c>
      <c r="AU254" s="20" t="str">
        <f>HYPERLINK("https://www.google.iq/maps/search/+33.9923,44.8774/@33.9923,44.8774,14z?hl=en","Maplink2")</f>
        <v>Maplink2</v>
      </c>
      <c r="AV254" s="20" t="str">
        <f>HYPERLINK("http://www.bing.com/maps/?lvl=14&amp;sty=h&amp;cp=33.9923~44.8774&amp;sp=point.33.9923_44.8774","Maplink3")</f>
        <v>Maplink3</v>
      </c>
    </row>
    <row r="255" spans="1:48" x14ac:dyDescent="0.25">
      <c r="A255" s="9">
        <v>11442</v>
      </c>
      <c r="B255" s="10" t="s">
        <v>13</v>
      </c>
      <c r="C255" s="10" t="s">
        <v>501</v>
      </c>
      <c r="D255" s="10" t="s">
        <v>514</v>
      </c>
      <c r="E255" s="10" t="s">
        <v>515</v>
      </c>
      <c r="F255" s="10">
        <v>33.972239999999999</v>
      </c>
      <c r="G255" s="10">
        <v>44.935969999999998</v>
      </c>
      <c r="H255" s="11">
        <v>381</v>
      </c>
      <c r="I255" s="11">
        <v>2286</v>
      </c>
      <c r="J255" s="11"/>
      <c r="K255" s="11"/>
      <c r="L255" s="11"/>
      <c r="M255" s="11"/>
      <c r="N255" s="11"/>
      <c r="O255" s="11">
        <v>301</v>
      </c>
      <c r="P255" s="11"/>
      <c r="Q255" s="11"/>
      <c r="R255" s="11">
        <v>80</v>
      </c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>
        <v>381</v>
      </c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>
        <v>381</v>
      </c>
      <c r="AO255" s="11"/>
      <c r="AP255" s="11"/>
      <c r="AQ255" s="11"/>
      <c r="AR255" s="11"/>
      <c r="AS255" s="11"/>
      <c r="AT255" s="20" t="str">
        <f>HYPERLINK("http://www.openstreetmap.org/?mlat=33.9722&amp;mlon=44.936&amp;zoom=12#map=12/33.9722/44.936","Maplink1")</f>
        <v>Maplink1</v>
      </c>
      <c r="AU255" s="20" t="str">
        <f>HYPERLINK("https://www.google.iq/maps/search/+33.9722,44.936/@33.9722,44.936,14z?hl=en","Maplink2")</f>
        <v>Maplink2</v>
      </c>
      <c r="AV255" s="20" t="str">
        <f>HYPERLINK("http://www.bing.com/maps/?lvl=14&amp;sty=h&amp;cp=33.9722~44.936&amp;sp=point.33.9722_44.936","Maplink3")</f>
        <v>Maplink3</v>
      </c>
    </row>
    <row r="256" spans="1:48" x14ac:dyDescent="0.25">
      <c r="A256" s="9">
        <v>11329</v>
      </c>
      <c r="B256" s="10" t="s">
        <v>13</v>
      </c>
      <c r="C256" s="10" t="s">
        <v>501</v>
      </c>
      <c r="D256" s="10" t="s">
        <v>516</v>
      </c>
      <c r="E256" s="10" t="s">
        <v>517</v>
      </c>
      <c r="F256" s="10">
        <v>33.986170000000001</v>
      </c>
      <c r="G256" s="10">
        <v>44.922809999999998</v>
      </c>
      <c r="H256" s="11">
        <v>50</v>
      </c>
      <c r="I256" s="11">
        <v>300</v>
      </c>
      <c r="J256" s="11"/>
      <c r="K256" s="11"/>
      <c r="L256" s="11"/>
      <c r="M256" s="11"/>
      <c r="N256" s="11"/>
      <c r="O256" s="11">
        <v>30</v>
      </c>
      <c r="P256" s="11"/>
      <c r="Q256" s="11"/>
      <c r="R256" s="11">
        <v>20</v>
      </c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>
        <v>50</v>
      </c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>
        <v>20</v>
      </c>
      <c r="AO256" s="11"/>
      <c r="AP256" s="11">
        <v>30</v>
      </c>
      <c r="AQ256" s="11"/>
      <c r="AR256" s="11"/>
      <c r="AS256" s="11"/>
      <c r="AT256" s="20" t="str">
        <f>HYPERLINK("http://www.openstreetmap.org/?mlat=33.9862&amp;mlon=44.9228&amp;zoom=12#map=12/33.9862/44.9228","Maplink1")</f>
        <v>Maplink1</v>
      </c>
      <c r="AU256" s="20" t="str">
        <f>HYPERLINK("https://www.google.iq/maps/search/+33.9862,44.9228/@33.9862,44.9228,14z?hl=en","Maplink2")</f>
        <v>Maplink2</v>
      </c>
      <c r="AV256" s="20" t="str">
        <f>HYPERLINK("http://www.bing.com/maps/?lvl=14&amp;sty=h&amp;cp=33.9862~44.9228&amp;sp=point.33.9862_44.9228","Maplink3")</f>
        <v>Maplink3</v>
      </c>
    </row>
    <row r="257" spans="1:48" x14ac:dyDescent="0.25">
      <c r="A257" s="9">
        <v>29659</v>
      </c>
      <c r="B257" s="10" t="s">
        <v>13</v>
      </c>
      <c r="C257" s="10" t="s">
        <v>501</v>
      </c>
      <c r="D257" s="10" t="s">
        <v>518</v>
      </c>
      <c r="E257" s="10" t="s">
        <v>519</v>
      </c>
      <c r="F257" s="10">
        <v>33.999949999999998</v>
      </c>
      <c r="G257" s="10">
        <v>44.941600000000001</v>
      </c>
      <c r="H257" s="11">
        <v>57</v>
      </c>
      <c r="I257" s="11">
        <v>342</v>
      </c>
      <c r="J257" s="11"/>
      <c r="K257" s="11"/>
      <c r="L257" s="11"/>
      <c r="M257" s="11"/>
      <c r="N257" s="11"/>
      <c r="O257" s="11">
        <v>27</v>
      </c>
      <c r="P257" s="11"/>
      <c r="Q257" s="11"/>
      <c r="R257" s="11">
        <v>30</v>
      </c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>
        <v>30</v>
      </c>
      <c r="AD257" s="11"/>
      <c r="AE257" s="11"/>
      <c r="AF257" s="11"/>
      <c r="AG257" s="11"/>
      <c r="AH257" s="11"/>
      <c r="AI257" s="11"/>
      <c r="AJ257" s="11"/>
      <c r="AK257" s="11">
        <v>27</v>
      </c>
      <c r="AL257" s="11"/>
      <c r="AM257" s="11"/>
      <c r="AN257" s="11">
        <v>30</v>
      </c>
      <c r="AO257" s="11"/>
      <c r="AP257" s="11">
        <v>27</v>
      </c>
      <c r="AQ257" s="11"/>
      <c r="AR257" s="11"/>
      <c r="AS257" s="11"/>
      <c r="AT257" s="20" t="str">
        <f>HYPERLINK("http://www.openstreetmap.org/?mlat=33.9999&amp;mlon=44.9416&amp;zoom=12#map=12/33.9999/44.9416","Maplink1")</f>
        <v>Maplink1</v>
      </c>
      <c r="AU257" s="20" t="str">
        <f>HYPERLINK("https://www.google.iq/maps/search/+33.9999,44.9416/@33.9999,44.9416,14z?hl=en","Maplink2")</f>
        <v>Maplink2</v>
      </c>
      <c r="AV257" s="20" t="str">
        <f>HYPERLINK("http://www.bing.com/maps/?lvl=14&amp;sty=h&amp;cp=33.9999~44.9416&amp;sp=point.33.9999_44.9416","Maplink3")</f>
        <v>Maplink3</v>
      </c>
    </row>
    <row r="258" spans="1:48" x14ac:dyDescent="0.25">
      <c r="A258" s="9">
        <v>25802</v>
      </c>
      <c r="B258" s="10" t="s">
        <v>13</v>
      </c>
      <c r="C258" s="10" t="s">
        <v>501</v>
      </c>
      <c r="D258" s="10" t="s">
        <v>520</v>
      </c>
      <c r="E258" s="10" t="s">
        <v>521</v>
      </c>
      <c r="F258" s="10">
        <v>33.5809</v>
      </c>
      <c r="G258" s="10">
        <v>44.545200000000001</v>
      </c>
      <c r="H258" s="11">
        <v>20</v>
      </c>
      <c r="I258" s="11">
        <v>120</v>
      </c>
      <c r="J258" s="11"/>
      <c r="K258" s="11"/>
      <c r="L258" s="11"/>
      <c r="M258" s="11"/>
      <c r="N258" s="11"/>
      <c r="O258" s="11">
        <v>20</v>
      </c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>
        <v>20</v>
      </c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>
        <v>20</v>
      </c>
      <c r="AO258" s="11"/>
      <c r="AP258" s="11"/>
      <c r="AQ258" s="11"/>
      <c r="AR258" s="11"/>
      <c r="AS258" s="11"/>
      <c r="AT258" s="20" t="str">
        <f>HYPERLINK("http://www.openstreetmap.org/?mlat=33.5809&amp;mlon=44.5452&amp;zoom=12#map=12/33.5809/44.5452","Maplink1")</f>
        <v>Maplink1</v>
      </c>
      <c r="AU258" s="20" t="str">
        <f>HYPERLINK("https://www.google.iq/maps/search/+33.5809,44.5452/@33.5809,44.5452,14z?hl=en","Maplink2")</f>
        <v>Maplink2</v>
      </c>
      <c r="AV258" s="20" t="str">
        <f>HYPERLINK("http://www.bing.com/maps/?lvl=14&amp;sty=h&amp;cp=33.5809~44.5452&amp;sp=point.33.5809_44.5452","Maplink3")</f>
        <v>Maplink3</v>
      </c>
    </row>
    <row r="259" spans="1:48" x14ac:dyDescent="0.25">
      <c r="A259" s="9">
        <v>25664</v>
      </c>
      <c r="B259" s="10" t="s">
        <v>13</v>
      </c>
      <c r="C259" s="10" t="s">
        <v>501</v>
      </c>
      <c r="D259" s="10" t="s">
        <v>522</v>
      </c>
      <c r="E259" s="10" t="s">
        <v>523</v>
      </c>
      <c r="F259" s="10">
        <v>34.021720000000002</v>
      </c>
      <c r="G259" s="10">
        <v>44.904690000000002</v>
      </c>
      <c r="H259" s="11">
        <v>209</v>
      </c>
      <c r="I259" s="11">
        <v>1254</v>
      </c>
      <c r="J259" s="11"/>
      <c r="K259" s="11"/>
      <c r="L259" s="11"/>
      <c r="M259" s="11"/>
      <c r="N259" s="11"/>
      <c r="O259" s="11">
        <v>159</v>
      </c>
      <c r="P259" s="11"/>
      <c r="Q259" s="11"/>
      <c r="R259" s="11"/>
      <c r="S259" s="11"/>
      <c r="T259" s="11"/>
      <c r="U259" s="11"/>
      <c r="V259" s="11"/>
      <c r="W259" s="11"/>
      <c r="X259" s="11"/>
      <c r="Y259" s="11">
        <v>50</v>
      </c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>
        <v>209</v>
      </c>
      <c r="AL259" s="11"/>
      <c r="AM259" s="11"/>
      <c r="AN259" s="11"/>
      <c r="AO259" s="11"/>
      <c r="AP259" s="11">
        <v>209</v>
      </c>
      <c r="AQ259" s="11"/>
      <c r="AR259" s="11"/>
      <c r="AS259" s="11"/>
      <c r="AT259" s="20" t="str">
        <f>HYPERLINK("http://www.openstreetmap.org/?mlat=34.0217&amp;mlon=44.9047&amp;zoom=12#map=12/34.0217/44.9047","Maplink1")</f>
        <v>Maplink1</v>
      </c>
      <c r="AU259" s="20" t="str">
        <f>HYPERLINK("https://www.google.iq/maps/search/+34.0217,44.9047/@34.0217,44.9047,14z?hl=en","Maplink2")</f>
        <v>Maplink2</v>
      </c>
      <c r="AV259" s="20" t="str">
        <f>HYPERLINK("http://www.bing.com/maps/?lvl=14&amp;sty=h&amp;cp=34.0217~44.9047&amp;sp=point.34.0217_44.9047","Maplink3")</f>
        <v>Maplink3</v>
      </c>
    </row>
    <row r="260" spans="1:48" x14ac:dyDescent="0.25">
      <c r="A260" s="9">
        <v>25804</v>
      </c>
      <c r="B260" s="10" t="s">
        <v>13</v>
      </c>
      <c r="C260" s="10" t="s">
        <v>501</v>
      </c>
      <c r="D260" s="10" t="s">
        <v>524</v>
      </c>
      <c r="E260" s="10" t="s">
        <v>80</v>
      </c>
      <c r="F260" s="10">
        <v>33.554200000000002</v>
      </c>
      <c r="G260" s="10">
        <v>45.044800000000002</v>
      </c>
      <c r="H260" s="11">
        <v>380</v>
      </c>
      <c r="I260" s="11">
        <v>2280</v>
      </c>
      <c r="J260" s="11"/>
      <c r="K260" s="11"/>
      <c r="L260" s="11"/>
      <c r="M260" s="11"/>
      <c r="N260" s="11"/>
      <c r="O260" s="11">
        <v>380</v>
      </c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>
        <v>210</v>
      </c>
      <c r="AD260" s="11"/>
      <c r="AE260" s="11"/>
      <c r="AF260" s="11"/>
      <c r="AG260" s="11"/>
      <c r="AH260" s="11"/>
      <c r="AI260" s="11">
        <v>95</v>
      </c>
      <c r="AJ260" s="11"/>
      <c r="AK260" s="11">
        <v>75</v>
      </c>
      <c r="AL260" s="11"/>
      <c r="AM260" s="11"/>
      <c r="AN260" s="11">
        <v>380</v>
      </c>
      <c r="AO260" s="11"/>
      <c r="AP260" s="11"/>
      <c r="AQ260" s="11"/>
      <c r="AR260" s="11"/>
      <c r="AS260" s="11"/>
      <c r="AT260" s="20" t="str">
        <f>HYPERLINK("http://www.openstreetmap.org/?mlat=33.5542&amp;mlon=45.0448&amp;zoom=12#map=12/33.5542/45.0448","Maplink1")</f>
        <v>Maplink1</v>
      </c>
      <c r="AU260" s="20" t="str">
        <f>HYPERLINK("https://www.google.iq/maps/search/+33.5542,45.0448/@33.5542,45.0448,14z?hl=en","Maplink2")</f>
        <v>Maplink2</v>
      </c>
      <c r="AV260" s="20" t="str">
        <f>HYPERLINK("http://www.bing.com/maps/?lvl=14&amp;sty=h&amp;cp=33.5542~45.0448&amp;sp=point.33.5542_45.0448","Maplink3")</f>
        <v>Maplink3</v>
      </c>
    </row>
    <row r="261" spans="1:48" x14ac:dyDescent="0.25">
      <c r="A261" s="9">
        <v>11414</v>
      </c>
      <c r="B261" s="10" t="s">
        <v>13</v>
      </c>
      <c r="C261" s="10" t="s">
        <v>501</v>
      </c>
      <c r="D261" s="10" t="s">
        <v>525</v>
      </c>
      <c r="E261" s="10" t="s">
        <v>526</v>
      </c>
      <c r="F261" s="10">
        <v>34.005899999999997</v>
      </c>
      <c r="G261" s="10">
        <v>44.947699999999998</v>
      </c>
      <c r="H261" s="11">
        <v>60</v>
      </c>
      <c r="I261" s="11">
        <v>360</v>
      </c>
      <c r="J261" s="11"/>
      <c r="K261" s="11"/>
      <c r="L261" s="11"/>
      <c r="M261" s="11"/>
      <c r="N261" s="11"/>
      <c r="O261" s="11">
        <v>40</v>
      </c>
      <c r="P261" s="11"/>
      <c r="Q261" s="11"/>
      <c r="R261" s="11"/>
      <c r="S261" s="11"/>
      <c r="T261" s="11"/>
      <c r="U261" s="11"/>
      <c r="V261" s="11"/>
      <c r="W261" s="11"/>
      <c r="X261" s="11"/>
      <c r="Y261" s="11">
        <v>20</v>
      </c>
      <c r="Z261" s="11"/>
      <c r="AA261" s="11"/>
      <c r="AB261" s="11"/>
      <c r="AC261" s="11">
        <v>30</v>
      </c>
      <c r="AD261" s="11"/>
      <c r="AE261" s="11"/>
      <c r="AF261" s="11"/>
      <c r="AG261" s="11"/>
      <c r="AH261" s="11"/>
      <c r="AI261" s="11"/>
      <c r="AJ261" s="11"/>
      <c r="AK261" s="11">
        <v>30</v>
      </c>
      <c r="AL261" s="11"/>
      <c r="AM261" s="11"/>
      <c r="AN261" s="11"/>
      <c r="AO261" s="11"/>
      <c r="AP261" s="11">
        <v>60</v>
      </c>
      <c r="AQ261" s="11"/>
      <c r="AR261" s="11"/>
      <c r="AS261" s="11"/>
      <c r="AT261" s="20" t="str">
        <f>HYPERLINK("http://www.openstreetmap.org/?mlat=34.0059&amp;mlon=44.9477&amp;zoom=12#map=12/34.0059/44.9477","Maplink1")</f>
        <v>Maplink1</v>
      </c>
      <c r="AU261" s="20" t="str">
        <f>HYPERLINK("https://www.google.iq/maps/search/+34.0059,44.9477/@34.0059,44.9477,14z?hl=en","Maplink2")</f>
        <v>Maplink2</v>
      </c>
      <c r="AV261" s="20" t="str">
        <f>HYPERLINK("http://www.bing.com/maps/?lvl=14&amp;sty=h&amp;cp=34.0059~44.9477&amp;sp=point.34.0059_44.9477","Maplink3")</f>
        <v>Maplink3</v>
      </c>
    </row>
    <row r="262" spans="1:48" x14ac:dyDescent="0.25">
      <c r="A262" s="9">
        <v>25801</v>
      </c>
      <c r="B262" s="10" t="s">
        <v>13</v>
      </c>
      <c r="C262" s="10" t="s">
        <v>501</v>
      </c>
      <c r="D262" s="10" t="s">
        <v>527</v>
      </c>
      <c r="E262" s="10" t="s">
        <v>528</v>
      </c>
      <c r="F262" s="10">
        <v>33.976590000000002</v>
      </c>
      <c r="G262" s="10">
        <v>44.931890000000003</v>
      </c>
      <c r="H262" s="11">
        <v>25</v>
      </c>
      <c r="I262" s="11">
        <v>150</v>
      </c>
      <c r="J262" s="11"/>
      <c r="K262" s="11"/>
      <c r="L262" s="11"/>
      <c r="M262" s="11"/>
      <c r="N262" s="11"/>
      <c r="O262" s="11">
        <v>25</v>
      </c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>
        <v>25</v>
      </c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>
        <v>25</v>
      </c>
      <c r="AO262" s="11"/>
      <c r="AP262" s="11"/>
      <c r="AQ262" s="11"/>
      <c r="AR262" s="11"/>
      <c r="AS262" s="11"/>
      <c r="AT262" s="20" t="str">
        <f>HYPERLINK("http://www.openstreetmap.org/?mlat=33.9766&amp;mlon=44.9319&amp;zoom=12#map=12/33.9766/44.9319","Maplink1")</f>
        <v>Maplink1</v>
      </c>
      <c r="AU262" s="20" t="str">
        <f>HYPERLINK("https://www.google.iq/maps/search/+33.9766,44.9319/@33.9766,44.9319,14z?hl=en","Maplink2")</f>
        <v>Maplink2</v>
      </c>
      <c r="AV262" s="20" t="str">
        <f>HYPERLINK("http://www.bing.com/maps/?lvl=14&amp;sty=h&amp;cp=33.9766~44.9319&amp;sp=point.33.9766_44.9319","Maplink3")</f>
        <v>Maplink3</v>
      </c>
    </row>
    <row r="263" spans="1:48" x14ac:dyDescent="0.25">
      <c r="A263" s="9">
        <v>25663</v>
      </c>
      <c r="B263" s="10" t="s">
        <v>13</v>
      </c>
      <c r="C263" s="10" t="s">
        <v>501</v>
      </c>
      <c r="D263" s="10" t="s">
        <v>529</v>
      </c>
      <c r="E263" s="10" t="s">
        <v>530</v>
      </c>
      <c r="F263" s="10">
        <v>34.038020000000003</v>
      </c>
      <c r="G263" s="10">
        <v>44.984490000000001</v>
      </c>
      <c r="H263" s="11">
        <v>80</v>
      </c>
      <c r="I263" s="11">
        <v>480</v>
      </c>
      <c r="J263" s="11"/>
      <c r="K263" s="11"/>
      <c r="L263" s="11"/>
      <c r="M263" s="11"/>
      <c r="N263" s="11"/>
      <c r="O263" s="11">
        <v>80</v>
      </c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>
        <v>20</v>
      </c>
      <c r="AD263" s="11"/>
      <c r="AE263" s="11"/>
      <c r="AF263" s="11"/>
      <c r="AG263" s="11"/>
      <c r="AH263" s="11"/>
      <c r="AI263" s="11"/>
      <c r="AJ263" s="11"/>
      <c r="AK263" s="11">
        <v>60</v>
      </c>
      <c r="AL263" s="11"/>
      <c r="AM263" s="11"/>
      <c r="AN263" s="11"/>
      <c r="AO263" s="11"/>
      <c r="AP263" s="11">
        <v>80</v>
      </c>
      <c r="AQ263" s="11"/>
      <c r="AR263" s="11"/>
      <c r="AS263" s="11"/>
      <c r="AT263" s="20" t="str">
        <f>HYPERLINK("http://www.openstreetmap.org/?mlat=34.038&amp;mlon=44.9845&amp;zoom=12#map=12/34.038/44.9845","Maplink1")</f>
        <v>Maplink1</v>
      </c>
      <c r="AU263" s="20" t="str">
        <f>HYPERLINK("https://www.google.iq/maps/search/+34.038,44.9845/@34.038,44.9845,14z?hl=en","Maplink2")</f>
        <v>Maplink2</v>
      </c>
      <c r="AV263" s="20" t="str">
        <f>HYPERLINK("http://www.bing.com/maps/?lvl=14&amp;sty=h&amp;cp=34.038~44.9845&amp;sp=point.34.038_44.9845","Maplink3")</f>
        <v>Maplink3</v>
      </c>
    </row>
    <row r="264" spans="1:48" x14ac:dyDescent="0.25">
      <c r="A264" s="9">
        <v>11440</v>
      </c>
      <c r="B264" s="10" t="s">
        <v>13</v>
      </c>
      <c r="C264" s="10" t="s">
        <v>501</v>
      </c>
      <c r="D264" s="10" t="s">
        <v>371</v>
      </c>
      <c r="E264" s="10" t="s">
        <v>372</v>
      </c>
      <c r="F264" s="10">
        <v>34.043030000000002</v>
      </c>
      <c r="G264" s="10">
        <v>44.959290000000003</v>
      </c>
      <c r="H264" s="11">
        <v>475</v>
      </c>
      <c r="I264" s="11">
        <v>2850</v>
      </c>
      <c r="J264" s="11"/>
      <c r="K264" s="11"/>
      <c r="L264" s="11"/>
      <c r="M264" s="11"/>
      <c r="N264" s="11"/>
      <c r="O264" s="11">
        <v>468</v>
      </c>
      <c r="P264" s="11"/>
      <c r="Q264" s="11"/>
      <c r="R264" s="11"/>
      <c r="S264" s="11"/>
      <c r="T264" s="11"/>
      <c r="U264" s="11"/>
      <c r="V264" s="11"/>
      <c r="W264" s="11"/>
      <c r="X264" s="11"/>
      <c r="Y264" s="11">
        <v>7</v>
      </c>
      <c r="Z264" s="11"/>
      <c r="AA264" s="11"/>
      <c r="AB264" s="11"/>
      <c r="AC264" s="11">
        <v>96</v>
      </c>
      <c r="AD264" s="11"/>
      <c r="AE264" s="11"/>
      <c r="AF264" s="11"/>
      <c r="AG264" s="11"/>
      <c r="AH264" s="11"/>
      <c r="AI264" s="11"/>
      <c r="AJ264" s="11"/>
      <c r="AK264" s="11">
        <v>379</v>
      </c>
      <c r="AL264" s="11"/>
      <c r="AM264" s="11"/>
      <c r="AN264" s="11"/>
      <c r="AO264" s="11"/>
      <c r="AP264" s="11">
        <v>475</v>
      </c>
      <c r="AQ264" s="11"/>
      <c r="AR264" s="11"/>
      <c r="AS264" s="11"/>
      <c r="AT264" s="20" t="str">
        <f>HYPERLINK("http://www.openstreetmap.org/?mlat=34.043&amp;mlon=44.9593&amp;zoom=12#map=12/34.043/44.9593","Maplink1")</f>
        <v>Maplink1</v>
      </c>
      <c r="AU264" s="20" t="str">
        <f>HYPERLINK("https://www.google.iq/maps/search/+34.043,44.9593/@34.043,44.9593,14z?hl=en","Maplink2")</f>
        <v>Maplink2</v>
      </c>
      <c r="AV264" s="20" t="str">
        <f>HYPERLINK("http://www.bing.com/maps/?lvl=14&amp;sty=h&amp;cp=34.043~44.9593&amp;sp=point.34.043_44.9593","Maplink3")</f>
        <v>Maplink3</v>
      </c>
    </row>
    <row r="265" spans="1:48" x14ac:dyDescent="0.25">
      <c r="A265" s="9">
        <v>11307</v>
      </c>
      <c r="B265" s="10" t="s">
        <v>13</v>
      </c>
      <c r="C265" s="10" t="s">
        <v>501</v>
      </c>
      <c r="D265" s="10" t="s">
        <v>531</v>
      </c>
      <c r="E265" s="10" t="s">
        <v>532</v>
      </c>
      <c r="F265" s="10">
        <v>34.018279999999997</v>
      </c>
      <c r="G265" s="10">
        <v>44.99727</v>
      </c>
      <c r="H265" s="11">
        <v>276</v>
      </c>
      <c r="I265" s="11">
        <v>1656</v>
      </c>
      <c r="J265" s="11"/>
      <c r="K265" s="11"/>
      <c r="L265" s="11"/>
      <c r="M265" s="11"/>
      <c r="N265" s="11"/>
      <c r="O265" s="11">
        <v>276</v>
      </c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>
        <v>126</v>
      </c>
      <c r="AD265" s="11"/>
      <c r="AE265" s="11"/>
      <c r="AF265" s="11"/>
      <c r="AG265" s="11"/>
      <c r="AH265" s="11"/>
      <c r="AI265" s="11"/>
      <c r="AJ265" s="11"/>
      <c r="AK265" s="11">
        <v>150</v>
      </c>
      <c r="AL265" s="11"/>
      <c r="AM265" s="11"/>
      <c r="AN265" s="11"/>
      <c r="AO265" s="11"/>
      <c r="AP265" s="11">
        <v>276</v>
      </c>
      <c r="AQ265" s="11"/>
      <c r="AR265" s="11"/>
      <c r="AS265" s="11"/>
      <c r="AT265" s="20" t="str">
        <f>HYPERLINK("http://www.openstreetmap.org/?mlat=34.0183&amp;mlon=44.9973&amp;zoom=12#map=12/34.0183/44.9973","Maplink1")</f>
        <v>Maplink1</v>
      </c>
      <c r="AU265" s="20" t="str">
        <f>HYPERLINK("https://www.google.iq/maps/search/+34.0183,44.9973/@34.0183,44.9973,14z?hl=en","Maplink2")</f>
        <v>Maplink2</v>
      </c>
      <c r="AV265" s="20" t="str">
        <f>HYPERLINK("http://www.bing.com/maps/?lvl=14&amp;sty=h&amp;cp=34.0183~44.9973&amp;sp=point.34.0183_44.9973","Maplink3")</f>
        <v>Maplink3</v>
      </c>
    </row>
    <row r="266" spans="1:48" x14ac:dyDescent="0.25">
      <c r="A266" s="9">
        <v>26027</v>
      </c>
      <c r="B266" s="10" t="s">
        <v>13</v>
      </c>
      <c r="C266" s="10" t="s">
        <v>501</v>
      </c>
      <c r="D266" s="10" t="s">
        <v>533</v>
      </c>
      <c r="E266" s="10" t="s">
        <v>534</v>
      </c>
      <c r="F266" s="10">
        <v>34.032389999999999</v>
      </c>
      <c r="G266" s="10">
        <v>44.964320000000001</v>
      </c>
      <c r="H266" s="11">
        <v>22</v>
      </c>
      <c r="I266" s="11">
        <v>132</v>
      </c>
      <c r="J266" s="11"/>
      <c r="K266" s="11"/>
      <c r="L266" s="11"/>
      <c r="M266" s="11"/>
      <c r="N266" s="11"/>
      <c r="O266" s="11">
        <v>22</v>
      </c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>
        <v>22</v>
      </c>
      <c r="AL266" s="11"/>
      <c r="AM266" s="11"/>
      <c r="AN266" s="11"/>
      <c r="AO266" s="11"/>
      <c r="AP266" s="11">
        <v>22</v>
      </c>
      <c r="AQ266" s="11"/>
      <c r="AR266" s="11"/>
      <c r="AS266" s="11"/>
      <c r="AT266" s="20" t="str">
        <f>HYPERLINK("http://www.openstreetmap.org/?mlat=34.0324&amp;mlon=44.9643&amp;zoom=12#map=12/34.0324/44.9643","Maplink1")</f>
        <v>Maplink1</v>
      </c>
      <c r="AU266" s="20" t="str">
        <f>HYPERLINK("https://www.google.iq/maps/search/+34.0324,44.9643/@34.0324,44.9643,14z?hl=en","Maplink2")</f>
        <v>Maplink2</v>
      </c>
      <c r="AV266" s="20" t="str">
        <f>HYPERLINK("http://www.bing.com/maps/?lvl=14&amp;sty=h&amp;cp=34.0324~44.9643&amp;sp=point.34.0324_44.9643","Maplink3")</f>
        <v>Maplink3</v>
      </c>
    </row>
    <row r="267" spans="1:48" x14ac:dyDescent="0.25">
      <c r="A267" s="9">
        <v>26114</v>
      </c>
      <c r="B267" s="10" t="s">
        <v>13</v>
      </c>
      <c r="C267" s="10" t="s">
        <v>501</v>
      </c>
      <c r="D267" s="10" t="s">
        <v>535</v>
      </c>
      <c r="E267" s="10" t="s">
        <v>536</v>
      </c>
      <c r="F267" s="10">
        <v>34.057670000000002</v>
      </c>
      <c r="G267" s="10">
        <v>44.98415</v>
      </c>
      <c r="H267" s="11">
        <v>144</v>
      </c>
      <c r="I267" s="11">
        <v>864</v>
      </c>
      <c r="J267" s="11"/>
      <c r="K267" s="11"/>
      <c r="L267" s="11"/>
      <c r="M267" s="11"/>
      <c r="N267" s="11"/>
      <c r="O267" s="11">
        <v>144</v>
      </c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>
        <v>144</v>
      </c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>
        <v>70</v>
      </c>
      <c r="AO267" s="11"/>
      <c r="AP267" s="11">
        <v>74</v>
      </c>
      <c r="AQ267" s="11"/>
      <c r="AR267" s="11"/>
      <c r="AS267" s="11"/>
      <c r="AT267" s="20" t="str">
        <f>HYPERLINK("http://www.openstreetmap.org/?mlat=34.0577&amp;mlon=44.9842&amp;zoom=12#map=12/34.0577/44.9842","Maplink1")</f>
        <v>Maplink1</v>
      </c>
      <c r="AU267" s="20" t="str">
        <f>HYPERLINK("https://www.google.iq/maps/search/+34.0577,44.9842/@34.0577,44.9842,14z?hl=en","Maplink2")</f>
        <v>Maplink2</v>
      </c>
      <c r="AV267" s="20" t="str">
        <f>HYPERLINK("http://www.bing.com/maps/?lvl=14&amp;sty=h&amp;cp=34.0577~44.9842&amp;sp=point.34.0577_44.9842","Maplink3")</f>
        <v>Maplink3</v>
      </c>
    </row>
    <row r="268" spans="1:48" x14ac:dyDescent="0.25">
      <c r="A268" s="9">
        <v>11312</v>
      </c>
      <c r="B268" s="10" t="s">
        <v>13</v>
      </c>
      <c r="C268" s="10" t="s">
        <v>501</v>
      </c>
      <c r="D268" s="10" t="s">
        <v>537</v>
      </c>
      <c r="E268" s="10" t="s">
        <v>538</v>
      </c>
      <c r="F268" s="10">
        <v>34.058529999999998</v>
      </c>
      <c r="G268" s="10">
        <v>44.981789999999997</v>
      </c>
      <c r="H268" s="11">
        <v>114</v>
      </c>
      <c r="I268" s="11">
        <v>684</v>
      </c>
      <c r="J268" s="11"/>
      <c r="K268" s="11"/>
      <c r="L268" s="11"/>
      <c r="M268" s="11"/>
      <c r="N268" s="11"/>
      <c r="O268" s="11">
        <v>114</v>
      </c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>
        <v>114</v>
      </c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>
        <v>99</v>
      </c>
      <c r="AO268" s="11"/>
      <c r="AP268" s="11">
        <v>15</v>
      </c>
      <c r="AQ268" s="11"/>
      <c r="AR268" s="11"/>
      <c r="AS268" s="11"/>
      <c r="AT268" s="20" t="str">
        <f>HYPERLINK("http://www.openstreetmap.org/?mlat=34.0585&amp;mlon=44.9818&amp;zoom=12#map=12/34.0585/44.9818","Maplink1")</f>
        <v>Maplink1</v>
      </c>
      <c r="AU268" s="20" t="str">
        <f>HYPERLINK("https://www.google.iq/maps/search/+34.0585,44.9818/@34.0585,44.9818,14z?hl=en","Maplink2")</f>
        <v>Maplink2</v>
      </c>
      <c r="AV268" s="20" t="str">
        <f>HYPERLINK("http://www.bing.com/maps/?lvl=14&amp;sty=h&amp;cp=34.0585~44.9818&amp;sp=point.34.0585_44.9818","Maplink3")</f>
        <v>Maplink3</v>
      </c>
    </row>
    <row r="269" spans="1:48" x14ac:dyDescent="0.25">
      <c r="A269" s="9">
        <v>25805</v>
      </c>
      <c r="B269" s="10" t="s">
        <v>13</v>
      </c>
      <c r="C269" s="10" t="s">
        <v>501</v>
      </c>
      <c r="D269" s="10" t="s">
        <v>539</v>
      </c>
      <c r="E269" s="10" t="s">
        <v>540</v>
      </c>
      <c r="F269" s="10">
        <v>33.974589999999999</v>
      </c>
      <c r="G269" s="10">
        <v>44.929009999999998</v>
      </c>
      <c r="H269" s="11">
        <v>160</v>
      </c>
      <c r="I269" s="11">
        <v>960</v>
      </c>
      <c r="J269" s="11"/>
      <c r="K269" s="11"/>
      <c r="L269" s="11"/>
      <c r="M269" s="11"/>
      <c r="N269" s="11"/>
      <c r="O269" s="11">
        <v>160</v>
      </c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>
        <v>160</v>
      </c>
      <c r="AL269" s="11"/>
      <c r="AM269" s="11"/>
      <c r="AN269" s="11">
        <v>160</v>
      </c>
      <c r="AO269" s="11"/>
      <c r="AP269" s="11"/>
      <c r="AQ269" s="11"/>
      <c r="AR269" s="11"/>
      <c r="AS269" s="11"/>
      <c r="AT269" s="20" t="str">
        <f>HYPERLINK("http://www.openstreetmap.org/?mlat=33.9746&amp;mlon=44.929&amp;zoom=12#map=12/33.9746/44.929","Maplink1")</f>
        <v>Maplink1</v>
      </c>
      <c r="AU269" s="20" t="str">
        <f>HYPERLINK("https://www.google.iq/maps/search/+33.9746,44.929/@33.9746,44.929,14z?hl=en","Maplink2")</f>
        <v>Maplink2</v>
      </c>
      <c r="AV269" s="20" t="str">
        <f>HYPERLINK("http://www.bing.com/maps/?lvl=14&amp;sty=h&amp;cp=33.9746~44.929&amp;sp=point.33.9746_44.929","Maplink3")</f>
        <v>Maplink3</v>
      </c>
    </row>
    <row r="270" spans="1:48" x14ac:dyDescent="0.25">
      <c r="A270" s="9">
        <v>25803</v>
      </c>
      <c r="B270" s="10" t="s">
        <v>13</v>
      </c>
      <c r="C270" s="10" t="s">
        <v>501</v>
      </c>
      <c r="D270" s="10" t="s">
        <v>541</v>
      </c>
      <c r="E270" s="10" t="s">
        <v>542</v>
      </c>
      <c r="F270" s="10">
        <v>33.975389999999997</v>
      </c>
      <c r="G270" s="10">
        <v>44.931190000000001</v>
      </c>
      <c r="H270" s="11">
        <v>23</v>
      </c>
      <c r="I270" s="11">
        <v>138</v>
      </c>
      <c r="J270" s="11"/>
      <c r="K270" s="11"/>
      <c r="L270" s="11"/>
      <c r="M270" s="11"/>
      <c r="N270" s="11"/>
      <c r="O270" s="11">
        <v>23</v>
      </c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>
        <v>23</v>
      </c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>
        <v>23</v>
      </c>
      <c r="AO270" s="11"/>
      <c r="AP270" s="11"/>
      <c r="AQ270" s="11"/>
      <c r="AR270" s="11"/>
      <c r="AS270" s="11"/>
      <c r="AT270" s="20" t="str">
        <f>HYPERLINK("http://www.openstreetmap.org/?mlat=33.9754&amp;mlon=44.9312&amp;zoom=12#map=12/33.9754/44.9312","Maplink1")</f>
        <v>Maplink1</v>
      </c>
      <c r="AU270" s="20" t="str">
        <f>HYPERLINK("https://www.google.iq/maps/search/+33.9754,44.9312/@33.9754,44.9312,14z?hl=en","Maplink2")</f>
        <v>Maplink2</v>
      </c>
      <c r="AV270" s="20" t="str">
        <f>HYPERLINK("http://www.bing.com/maps/?lvl=14&amp;sty=h&amp;cp=33.9754~44.9312&amp;sp=point.33.9754_44.9312","Maplink3")</f>
        <v>Maplink3</v>
      </c>
    </row>
    <row r="271" spans="1:48" x14ac:dyDescent="0.25">
      <c r="A271" s="9">
        <v>25827</v>
      </c>
      <c r="B271" s="10" t="s">
        <v>13</v>
      </c>
      <c r="C271" s="10" t="s">
        <v>501</v>
      </c>
      <c r="D271" s="10" t="s">
        <v>543</v>
      </c>
      <c r="E271" s="10" t="s">
        <v>544</v>
      </c>
      <c r="F271" s="10">
        <v>33.964399999999998</v>
      </c>
      <c r="G271" s="10">
        <v>44.918100000000003</v>
      </c>
      <c r="H271" s="11">
        <v>138</v>
      </c>
      <c r="I271" s="11">
        <v>828</v>
      </c>
      <c r="J271" s="11"/>
      <c r="K271" s="11"/>
      <c r="L271" s="11"/>
      <c r="M271" s="11"/>
      <c r="N271" s="11"/>
      <c r="O271" s="11">
        <v>138</v>
      </c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>
        <v>98</v>
      </c>
      <c r="AD271" s="11"/>
      <c r="AE271" s="11"/>
      <c r="AF271" s="11"/>
      <c r="AG271" s="11"/>
      <c r="AH271" s="11"/>
      <c r="AI271" s="11"/>
      <c r="AJ271" s="11"/>
      <c r="AK271" s="11">
        <v>40</v>
      </c>
      <c r="AL271" s="11"/>
      <c r="AM271" s="11"/>
      <c r="AN271" s="11">
        <v>138</v>
      </c>
      <c r="AO271" s="11"/>
      <c r="AP271" s="11"/>
      <c r="AQ271" s="11"/>
      <c r="AR271" s="11"/>
      <c r="AS271" s="11"/>
      <c r="AT271" s="20" t="str">
        <f>HYPERLINK("http://www.openstreetmap.org/?mlat=33.9644&amp;mlon=44.9181&amp;zoom=12#map=12/33.9644/44.9181","Maplink1")</f>
        <v>Maplink1</v>
      </c>
      <c r="AU271" s="20" t="str">
        <f>HYPERLINK("https://www.google.iq/maps/search/+33.9644,44.9181/@33.9644,44.9181,14z?hl=en","Maplink2")</f>
        <v>Maplink2</v>
      </c>
      <c r="AV271" s="20" t="str">
        <f>HYPERLINK("http://www.bing.com/maps/?lvl=14&amp;sty=h&amp;cp=33.9644~44.9181&amp;sp=point.33.9644_44.9181","Maplink3")</f>
        <v>Maplink3</v>
      </c>
    </row>
    <row r="272" spans="1:48" x14ac:dyDescent="0.25">
      <c r="A272" s="9">
        <v>25826</v>
      </c>
      <c r="B272" s="10" t="s">
        <v>13</v>
      </c>
      <c r="C272" s="10" t="s">
        <v>501</v>
      </c>
      <c r="D272" s="10" t="s">
        <v>545</v>
      </c>
      <c r="E272" s="10" t="s">
        <v>546</v>
      </c>
      <c r="F272" s="10">
        <v>33.983460000000001</v>
      </c>
      <c r="G272" s="10">
        <v>44.938420000000001</v>
      </c>
      <c r="H272" s="11">
        <v>67</v>
      </c>
      <c r="I272" s="11">
        <v>402</v>
      </c>
      <c r="J272" s="11"/>
      <c r="K272" s="11"/>
      <c r="L272" s="11"/>
      <c r="M272" s="11"/>
      <c r="N272" s="11"/>
      <c r="O272" s="11">
        <v>67</v>
      </c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>
        <v>67</v>
      </c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>
        <v>67</v>
      </c>
      <c r="AO272" s="11"/>
      <c r="AP272" s="11"/>
      <c r="AQ272" s="11"/>
      <c r="AR272" s="11"/>
      <c r="AS272" s="11"/>
      <c r="AT272" s="20" t="str">
        <f>HYPERLINK("http://www.openstreetmap.org/?mlat=33.9835&amp;mlon=44.9384&amp;zoom=12#map=12/33.9835/44.9384","Maplink1")</f>
        <v>Maplink1</v>
      </c>
      <c r="AU272" s="20" t="str">
        <f>HYPERLINK("https://www.google.iq/maps/search/+33.9835,44.9384/@33.9835,44.9384,14z?hl=en","Maplink2")</f>
        <v>Maplink2</v>
      </c>
      <c r="AV272" s="20" t="str">
        <f>HYPERLINK("http://www.bing.com/maps/?lvl=14&amp;sty=h&amp;cp=33.9835~44.9384&amp;sp=point.33.9835_44.9384","Maplink3")</f>
        <v>Maplink3</v>
      </c>
    </row>
    <row r="273" spans="1:48" x14ac:dyDescent="0.25">
      <c r="A273" s="9">
        <v>25668</v>
      </c>
      <c r="B273" s="10" t="s">
        <v>13</v>
      </c>
      <c r="C273" s="10" t="s">
        <v>501</v>
      </c>
      <c r="D273" s="10" t="s">
        <v>547</v>
      </c>
      <c r="E273" s="10" t="s">
        <v>548</v>
      </c>
      <c r="F273" s="10">
        <v>34.035789999999999</v>
      </c>
      <c r="G273" s="10">
        <v>44.984830000000002</v>
      </c>
      <c r="H273" s="11">
        <v>44</v>
      </c>
      <c r="I273" s="11">
        <v>264</v>
      </c>
      <c r="J273" s="11"/>
      <c r="K273" s="11"/>
      <c r="L273" s="11"/>
      <c r="M273" s="11"/>
      <c r="N273" s="11"/>
      <c r="O273" s="11">
        <v>44</v>
      </c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>
        <v>14</v>
      </c>
      <c r="AD273" s="11"/>
      <c r="AE273" s="11"/>
      <c r="AF273" s="11"/>
      <c r="AG273" s="11"/>
      <c r="AH273" s="11"/>
      <c r="AI273" s="11"/>
      <c r="AJ273" s="11"/>
      <c r="AK273" s="11">
        <v>30</v>
      </c>
      <c r="AL273" s="11"/>
      <c r="AM273" s="11"/>
      <c r="AN273" s="11"/>
      <c r="AO273" s="11"/>
      <c r="AP273" s="11">
        <v>44</v>
      </c>
      <c r="AQ273" s="11"/>
      <c r="AR273" s="11"/>
      <c r="AS273" s="11"/>
      <c r="AT273" s="20" t="str">
        <f>HYPERLINK("http://www.openstreetmap.org/?mlat=34.0358&amp;mlon=44.9848&amp;zoom=12#map=12/34.0358/44.9848","Maplink1")</f>
        <v>Maplink1</v>
      </c>
      <c r="AU273" s="20" t="str">
        <f>HYPERLINK("https://www.google.iq/maps/search/+34.0358,44.9848/@34.0358,44.9848,14z?hl=en","Maplink2")</f>
        <v>Maplink2</v>
      </c>
      <c r="AV273" s="20" t="str">
        <f>HYPERLINK("http://www.bing.com/maps/?lvl=14&amp;sty=h&amp;cp=34.0358~44.9848&amp;sp=point.34.0358_44.9848","Maplink3")</f>
        <v>Maplink3</v>
      </c>
    </row>
    <row r="274" spans="1:48" x14ac:dyDescent="0.25">
      <c r="A274" s="9">
        <v>26028</v>
      </c>
      <c r="B274" s="10" t="s">
        <v>13</v>
      </c>
      <c r="C274" s="10" t="s">
        <v>501</v>
      </c>
      <c r="D274" s="10" t="s">
        <v>549</v>
      </c>
      <c r="E274" s="10" t="s">
        <v>550</v>
      </c>
      <c r="F274" s="10">
        <v>33.987499999999997</v>
      </c>
      <c r="G274" s="10">
        <v>44.8932</v>
      </c>
      <c r="H274" s="11">
        <v>123</v>
      </c>
      <c r="I274" s="11">
        <v>738</v>
      </c>
      <c r="J274" s="11"/>
      <c r="K274" s="11"/>
      <c r="L274" s="11"/>
      <c r="M274" s="11"/>
      <c r="N274" s="11"/>
      <c r="O274" s="11">
        <v>123</v>
      </c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>
        <v>20</v>
      </c>
      <c r="AD274" s="11"/>
      <c r="AE274" s="11"/>
      <c r="AF274" s="11"/>
      <c r="AG274" s="11"/>
      <c r="AH274" s="11"/>
      <c r="AI274" s="11"/>
      <c r="AJ274" s="11"/>
      <c r="AK274" s="11">
        <v>103</v>
      </c>
      <c r="AL274" s="11"/>
      <c r="AM274" s="11"/>
      <c r="AN274" s="11"/>
      <c r="AO274" s="11"/>
      <c r="AP274" s="11">
        <v>123</v>
      </c>
      <c r="AQ274" s="11"/>
      <c r="AR274" s="11"/>
      <c r="AS274" s="11"/>
      <c r="AT274" s="20" t="str">
        <f>HYPERLINK("http://www.openstreetmap.org/?mlat=33.9875&amp;mlon=44.8932&amp;zoom=12#map=12/33.9875/44.8932","Maplink1")</f>
        <v>Maplink1</v>
      </c>
      <c r="AU274" s="20" t="str">
        <f>HYPERLINK("https://www.google.iq/maps/search/+33.9875,44.8932/@33.9875,44.8932,14z?hl=en","Maplink2")</f>
        <v>Maplink2</v>
      </c>
      <c r="AV274" s="20" t="str">
        <f>HYPERLINK("http://www.bing.com/maps/?lvl=14&amp;sty=h&amp;cp=33.9875~44.8932&amp;sp=point.33.9875_44.8932","Maplink3")</f>
        <v>Maplink3</v>
      </c>
    </row>
    <row r="275" spans="1:48" x14ac:dyDescent="0.25">
      <c r="A275" s="9">
        <v>26032</v>
      </c>
      <c r="B275" s="10" t="s">
        <v>13</v>
      </c>
      <c r="C275" s="10" t="s">
        <v>501</v>
      </c>
      <c r="D275" s="10" t="s">
        <v>551</v>
      </c>
      <c r="E275" s="10" t="s">
        <v>552</v>
      </c>
      <c r="F275" s="10">
        <v>33.98527</v>
      </c>
      <c r="G275" s="10">
        <v>44.938540000000003</v>
      </c>
      <c r="H275" s="11">
        <v>54</v>
      </c>
      <c r="I275" s="11">
        <v>324</v>
      </c>
      <c r="J275" s="11"/>
      <c r="K275" s="11"/>
      <c r="L275" s="11"/>
      <c r="M275" s="11"/>
      <c r="N275" s="11"/>
      <c r="O275" s="11">
        <v>54</v>
      </c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>
        <v>10</v>
      </c>
      <c r="AD275" s="11"/>
      <c r="AE275" s="11"/>
      <c r="AF275" s="11"/>
      <c r="AG275" s="11"/>
      <c r="AH275" s="11"/>
      <c r="AI275" s="11"/>
      <c r="AJ275" s="11"/>
      <c r="AK275" s="11">
        <v>44</v>
      </c>
      <c r="AL275" s="11"/>
      <c r="AM275" s="11"/>
      <c r="AN275" s="11"/>
      <c r="AO275" s="11"/>
      <c r="AP275" s="11">
        <v>54</v>
      </c>
      <c r="AQ275" s="11"/>
      <c r="AR275" s="11"/>
      <c r="AS275" s="11"/>
      <c r="AT275" s="20" t="str">
        <f>HYPERLINK("http://www.openstreetmap.org/?mlat=33.9853&amp;mlon=44.9385&amp;zoom=12#map=12/33.9853/44.9385","Maplink1")</f>
        <v>Maplink1</v>
      </c>
      <c r="AU275" s="20" t="str">
        <f>HYPERLINK("https://www.google.iq/maps/search/+33.9853,44.9385/@33.9853,44.9385,14z?hl=en","Maplink2")</f>
        <v>Maplink2</v>
      </c>
      <c r="AV275" s="20" t="str">
        <f>HYPERLINK("http://www.bing.com/maps/?lvl=14&amp;sty=h&amp;cp=33.9853~44.9385&amp;sp=point.33.9853_44.9385","Maplink3")</f>
        <v>Maplink3</v>
      </c>
    </row>
    <row r="276" spans="1:48" x14ac:dyDescent="0.25">
      <c r="A276" s="9">
        <v>11355</v>
      </c>
      <c r="B276" s="10" t="s">
        <v>13</v>
      </c>
      <c r="C276" s="10" t="s">
        <v>501</v>
      </c>
      <c r="D276" s="10" t="s">
        <v>553</v>
      </c>
      <c r="E276" s="10" t="s">
        <v>554</v>
      </c>
      <c r="F276" s="10">
        <v>33.97</v>
      </c>
      <c r="G276" s="10">
        <v>44.91</v>
      </c>
      <c r="H276" s="11">
        <v>310</v>
      </c>
      <c r="I276" s="11">
        <v>1860</v>
      </c>
      <c r="J276" s="11"/>
      <c r="K276" s="11"/>
      <c r="L276" s="11"/>
      <c r="M276" s="11"/>
      <c r="N276" s="11"/>
      <c r="O276" s="11">
        <v>305</v>
      </c>
      <c r="P276" s="11"/>
      <c r="Q276" s="11"/>
      <c r="R276" s="11">
        <v>5</v>
      </c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>
        <v>9</v>
      </c>
      <c r="AD276" s="11"/>
      <c r="AE276" s="11"/>
      <c r="AF276" s="11"/>
      <c r="AG276" s="11"/>
      <c r="AH276" s="11"/>
      <c r="AI276" s="11"/>
      <c r="AJ276" s="11"/>
      <c r="AK276" s="11">
        <v>301</v>
      </c>
      <c r="AL276" s="11"/>
      <c r="AM276" s="11"/>
      <c r="AN276" s="11"/>
      <c r="AO276" s="11"/>
      <c r="AP276" s="11">
        <v>310</v>
      </c>
      <c r="AQ276" s="11"/>
      <c r="AR276" s="11"/>
      <c r="AS276" s="11"/>
      <c r="AT276" s="20" t="str">
        <f>HYPERLINK("http://www.openstreetmap.org/?mlat=33.97&amp;mlon=44.91&amp;zoom=12#map=12/33.97/44.91","Maplink1")</f>
        <v>Maplink1</v>
      </c>
      <c r="AU276" s="20" t="str">
        <f>HYPERLINK("https://www.google.iq/maps/search/+33.97,44.91/@33.97,44.91,14z?hl=en","Maplink2")</f>
        <v>Maplink2</v>
      </c>
      <c r="AV276" s="20" t="str">
        <f>HYPERLINK("http://www.bing.com/maps/?lvl=14&amp;sty=h&amp;cp=33.97~44.91&amp;sp=point.33.97_44.91","Maplink3")</f>
        <v>Maplink3</v>
      </c>
    </row>
    <row r="277" spans="1:48" x14ac:dyDescent="0.25">
      <c r="A277" s="9">
        <v>29660</v>
      </c>
      <c r="B277" s="10" t="s">
        <v>13</v>
      </c>
      <c r="C277" s="10" t="s">
        <v>501</v>
      </c>
      <c r="D277" s="10" t="s">
        <v>555</v>
      </c>
      <c r="E277" s="10" t="s">
        <v>556</v>
      </c>
      <c r="F277" s="10">
        <v>34.022950000000002</v>
      </c>
      <c r="G277" s="10">
        <v>44.956989999999998</v>
      </c>
      <c r="H277" s="11">
        <v>35</v>
      </c>
      <c r="I277" s="11">
        <v>210</v>
      </c>
      <c r="J277" s="11"/>
      <c r="K277" s="11"/>
      <c r="L277" s="11"/>
      <c r="M277" s="11"/>
      <c r="N277" s="11"/>
      <c r="O277" s="11">
        <v>25</v>
      </c>
      <c r="P277" s="11"/>
      <c r="Q277" s="11"/>
      <c r="R277" s="11">
        <v>10</v>
      </c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>
        <v>35</v>
      </c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>
        <v>35</v>
      </c>
      <c r="AO277" s="11"/>
      <c r="AP277" s="11"/>
      <c r="AQ277" s="11"/>
      <c r="AR277" s="11"/>
      <c r="AS277" s="11"/>
      <c r="AT277" s="20" t="str">
        <f>HYPERLINK("http://www.openstreetmap.org/?mlat=34.023&amp;mlon=44.957&amp;zoom=12#map=12/34.023/44.957","Maplink1")</f>
        <v>Maplink1</v>
      </c>
      <c r="AU277" s="20" t="str">
        <f>HYPERLINK("https://www.google.iq/maps/search/+34.023,44.957/@34.023,44.957,14z?hl=en","Maplink2")</f>
        <v>Maplink2</v>
      </c>
      <c r="AV277" s="20" t="str">
        <f>HYPERLINK("http://www.bing.com/maps/?lvl=14&amp;sty=h&amp;cp=34.023~44.957&amp;sp=point.34.023_44.957","Maplink3")</f>
        <v>Maplink3</v>
      </c>
    </row>
    <row r="278" spans="1:48" x14ac:dyDescent="0.25">
      <c r="A278" s="9">
        <v>11179</v>
      </c>
      <c r="B278" s="10" t="s">
        <v>13</v>
      </c>
      <c r="C278" s="10" t="s">
        <v>501</v>
      </c>
      <c r="D278" s="10" t="s">
        <v>557</v>
      </c>
      <c r="E278" s="10" t="s">
        <v>558</v>
      </c>
      <c r="F278" s="10">
        <v>33.98104</v>
      </c>
      <c r="G278" s="10">
        <v>44.916989999999998</v>
      </c>
      <c r="H278" s="11">
        <v>329</v>
      </c>
      <c r="I278" s="11">
        <v>1974</v>
      </c>
      <c r="J278" s="11"/>
      <c r="K278" s="11"/>
      <c r="L278" s="11"/>
      <c r="M278" s="11"/>
      <c r="N278" s="11"/>
      <c r="O278" s="11">
        <v>329</v>
      </c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>
        <v>329</v>
      </c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>
        <v>329</v>
      </c>
      <c r="AO278" s="11"/>
      <c r="AP278" s="11"/>
      <c r="AQ278" s="11"/>
      <c r="AR278" s="11"/>
      <c r="AS278" s="11"/>
      <c r="AT278" s="20" t="str">
        <f>HYPERLINK("http://www.openstreetmap.org/?mlat=33.981&amp;mlon=44.917&amp;zoom=12#map=12/33.981/44.917","Maplink1")</f>
        <v>Maplink1</v>
      </c>
      <c r="AU278" s="20" t="str">
        <f>HYPERLINK("https://www.google.iq/maps/search/+33.981,44.917/@33.981,44.917,14z?hl=en","Maplink2")</f>
        <v>Maplink2</v>
      </c>
      <c r="AV278" s="20" t="str">
        <f>HYPERLINK("http://www.bing.com/maps/?lvl=14&amp;sty=h&amp;cp=33.981~44.917&amp;sp=point.33.981_44.917","Maplink3")</f>
        <v>Maplink3</v>
      </c>
    </row>
    <row r="279" spans="1:48" x14ac:dyDescent="0.25">
      <c r="A279" s="9">
        <v>25674</v>
      </c>
      <c r="B279" s="10" t="s">
        <v>13</v>
      </c>
      <c r="C279" s="10" t="s">
        <v>501</v>
      </c>
      <c r="D279" s="10" t="s">
        <v>559</v>
      </c>
      <c r="E279" s="10" t="s">
        <v>560</v>
      </c>
      <c r="F279" s="10">
        <v>33.961860000000001</v>
      </c>
      <c r="G279" s="10">
        <v>44.88241</v>
      </c>
      <c r="H279" s="11">
        <v>26</v>
      </c>
      <c r="I279" s="11">
        <v>156</v>
      </c>
      <c r="J279" s="11"/>
      <c r="K279" s="11"/>
      <c r="L279" s="11"/>
      <c r="M279" s="11"/>
      <c r="N279" s="11"/>
      <c r="O279" s="11">
        <v>16</v>
      </c>
      <c r="P279" s="11"/>
      <c r="Q279" s="11"/>
      <c r="R279" s="11"/>
      <c r="S279" s="11"/>
      <c r="T279" s="11"/>
      <c r="U279" s="11"/>
      <c r="V279" s="11"/>
      <c r="W279" s="11"/>
      <c r="X279" s="11"/>
      <c r="Y279" s="11">
        <v>10</v>
      </c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>
        <v>26</v>
      </c>
      <c r="AL279" s="11"/>
      <c r="AM279" s="11"/>
      <c r="AN279" s="11"/>
      <c r="AO279" s="11"/>
      <c r="AP279" s="11">
        <v>26</v>
      </c>
      <c r="AQ279" s="11"/>
      <c r="AR279" s="11"/>
      <c r="AS279" s="11"/>
      <c r="AT279" s="20" t="str">
        <f>HYPERLINK("http://www.openstreetmap.org/?mlat=33.9619&amp;mlon=44.8824&amp;zoom=12#map=12/33.9619/44.8824","Maplink1")</f>
        <v>Maplink1</v>
      </c>
      <c r="AU279" s="20" t="str">
        <f>HYPERLINK("https://www.google.iq/maps/search/+33.9619,44.8824/@33.9619,44.8824,14z?hl=en","Maplink2")</f>
        <v>Maplink2</v>
      </c>
      <c r="AV279" s="20" t="str">
        <f>HYPERLINK("http://www.bing.com/maps/?lvl=14&amp;sty=h&amp;cp=33.9619~44.8824&amp;sp=point.33.9619_44.8824","Maplink3")</f>
        <v>Maplink3</v>
      </c>
    </row>
    <row r="280" spans="1:48" x14ac:dyDescent="0.25">
      <c r="A280" s="9">
        <v>25675</v>
      </c>
      <c r="B280" s="10" t="s">
        <v>13</v>
      </c>
      <c r="C280" s="10" t="s">
        <v>501</v>
      </c>
      <c r="D280" s="10" t="s">
        <v>561</v>
      </c>
      <c r="E280" s="10" t="s">
        <v>562</v>
      </c>
      <c r="F280" s="10">
        <v>34.034700000000001</v>
      </c>
      <c r="G280" s="10">
        <v>44.927300000000002</v>
      </c>
      <c r="H280" s="11">
        <v>175</v>
      </c>
      <c r="I280" s="11">
        <v>1050</v>
      </c>
      <c r="J280" s="11"/>
      <c r="K280" s="11"/>
      <c r="L280" s="11"/>
      <c r="M280" s="11"/>
      <c r="N280" s="11"/>
      <c r="O280" s="11">
        <v>149</v>
      </c>
      <c r="P280" s="11"/>
      <c r="Q280" s="11"/>
      <c r="R280" s="11"/>
      <c r="S280" s="11"/>
      <c r="T280" s="11"/>
      <c r="U280" s="11"/>
      <c r="V280" s="11"/>
      <c r="W280" s="11"/>
      <c r="X280" s="11"/>
      <c r="Y280" s="11">
        <v>26</v>
      </c>
      <c r="Z280" s="11"/>
      <c r="AA280" s="11"/>
      <c r="AB280" s="11"/>
      <c r="AC280" s="11">
        <v>72</v>
      </c>
      <c r="AD280" s="11"/>
      <c r="AE280" s="11"/>
      <c r="AF280" s="11"/>
      <c r="AG280" s="11"/>
      <c r="AH280" s="11"/>
      <c r="AI280" s="11"/>
      <c r="AJ280" s="11"/>
      <c r="AK280" s="11">
        <v>103</v>
      </c>
      <c r="AL280" s="11"/>
      <c r="AM280" s="11"/>
      <c r="AN280" s="11"/>
      <c r="AO280" s="11"/>
      <c r="AP280" s="11">
        <v>175</v>
      </c>
      <c r="AQ280" s="11"/>
      <c r="AR280" s="11"/>
      <c r="AS280" s="11"/>
      <c r="AT280" s="20" t="str">
        <f>HYPERLINK("http://www.openstreetmap.org/?mlat=34.0347&amp;mlon=44.9273&amp;zoom=12#map=12/34.0347/44.9273","Maplink1")</f>
        <v>Maplink1</v>
      </c>
      <c r="AU280" s="20" t="str">
        <f>HYPERLINK("https://www.google.iq/maps/search/+34.0347,44.9273/@34.0347,44.9273,14z?hl=en","Maplink2")</f>
        <v>Maplink2</v>
      </c>
      <c r="AV280" s="20" t="str">
        <f>HYPERLINK("http://www.bing.com/maps/?lvl=14&amp;sty=h&amp;cp=34.0347~44.9273&amp;sp=point.34.0347_44.9273","Maplink3")</f>
        <v>Maplink3</v>
      </c>
    </row>
    <row r="281" spans="1:48" x14ac:dyDescent="0.25">
      <c r="A281" s="9">
        <v>26026</v>
      </c>
      <c r="B281" s="10" t="s">
        <v>13</v>
      </c>
      <c r="C281" s="10" t="s">
        <v>501</v>
      </c>
      <c r="D281" s="10" t="s">
        <v>563</v>
      </c>
      <c r="E281" s="10" t="s">
        <v>564</v>
      </c>
      <c r="F281" s="10">
        <v>34.03595</v>
      </c>
      <c r="G281" s="10">
        <v>44.975819999999999</v>
      </c>
      <c r="H281" s="11">
        <v>193</v>
      </c>
      <c r="I281" s="11">
        <v>1158</v>
      </c>
      <c r="J281" s="11"/>
      <c r="K281" s="11"/>
      <c r="L281" s="11"/>
      <c r="M281" s="11"/>
      <c r="N281" s="11"/>
      <c r="O281" s="11">
        <v>193</v>
      </c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>
        <v>60</v>
      </c>
      <c r="AD281" s="11"/>
      <c r="AE281" s="11"/>
      <c r="AF281" s="11"/>
      <c r="AG281" s="11"/>
      <c r="AH281" s="11"/>
      <c r="AI281" s="11"/>
      <c r="AJ281" s="11"/>
      <c r="AK281" s="11">
        <v>133</v>
      </c>
      <c r="AL281" s="11"/>
      <c r="AM281" s="11"/>
      <c r="AN281" s="11"/>
      <c r="AO281" s="11"/>
      <c r="AP281" s="11">
        <v>193</v>
      </c>
      <c r="AQ281" s="11"/>
      <c r="AR281" s="11"/>
      <c r="AS281" s="11"/>
      <c r="AT281" s="20" t="str">
        <f>HYPERLINK("http://www.openstreetmap.org/?mlat=34.036&amp;mlon=44.9758&amp;zoom=12#map=12/34.036/44.9758","Maplink1")</f>
        <v>Maplink1</v>
      </c>
      <c r="AU281" s="20" t="str">
        <f>HYPERLINK("https://www.google.iq/maps/search/+34.036,44.9758/@34.036,44.9758,14z?hl=en","Maplink2")</f>
        <v>Maplink2</v>
      </c>
      <c r="AV281" s="20" t="str">
        <f>HYPERLINK("http://www.bing.com/maps/?lvl=14&amp;sty=h&amp;cp=34.036~44.9758&amp;sp=point.34.036_44.9758","Maplink3")</f>
        <v>Maplink3</v>
      </c>
    </row>
    <row r="282" spans="1:48" x14ac:dyDescent="0.25">
      <c r="A282" s="9">
        <v>11327</v>
      </c>
      <c r="B282" s="10" t="s">
        <v>13</v>
      </c>
      <c r="C282" s="10" t="s">
        <v>501</v>
      </c>
      <c r="D282" s="10" t="s">
        <v>565</v>
      </c>
      <c r="E282" s="10" t="s">
        <v>566</v>
      </c>
      <c r="F282" s="10">
        <v>34.027200000000001</v>
      </c>
      <c r="G282" s="10">
        <v>44.989199999999997</v>
      </c>
      <c r="H282" s="11">
        <v>218</v>
      </c>
      <c r="I282" s="11">
        <v>1308</v>
      </c>
      <c r="J282" s="11"/>
      <c r="K282" s="11"/>
      <c r="L282" s="11"/>
      <c r="M282" s="11"/>
      <c r="N282" s="11"/>
      <c r="O282" s="11">
        <v>128</v>
      </c>
      <c r="P282" s="11"/>
      <c r="Q282" s="11"/>
      <c r="R282" s="11"/>
      <c r="S282" s="11"/>
      <c r="T282" s="11"/>
      <c r="U282" s="11"/>
      <c r="V282" s="11"/>
      <c r="W282" s="11"/>
      <c r="X282" s="11"/>
      <c r="Y282" s="11">
        <v>90</v>
      </c>
      <c r="Z282" s="11"/>
      <c r="AA282" s="11"/>
      <c r="AB282" s="11"/>
      <c r="AC282" s="11">
        <v>90</v>
      </c>
      <c r="AD282" s="11"/>
      <c r="AE282" s="11"/>
      <c r="AF282" s="11"/>
      <c r="AG282" s="11"/>
      <c r="AH282" s="11"/>
      <c r="AI282" s="11"/>
      <c r="AJ282" s="11"/>
      <c r="AK282" s="11">
        <v>128</v>
      </c>
      <c r="AL282" s="11"/>
      <c r="AM282" s="11"/>
      <c r="AN282" s="11"/>
      <c r="AO282" s="11"/>
      <c r="AP282" s="11">
        <v>218</v>
      </c>
      <c r="AQ282" s="11"/>
      <c r="AR282" s="11"/>
      <c r="AS282" s="11"/>
      <c r="AT282" s="20" t="str">
        <f>HYPERLINK("http://www.openstreetmap.org/?mlat=34.0272&amp;mlon=44.9892&amp;zoom=12#map=12/34.0272/44.9892","Maplink1")</f>
        <v>Maplink1</v>
      </c>
      <c r="AU282" s="20" t="str">
        <f>HYPERLINK("https://www.google.iq/maps/search/+34.0272,44.9892/@34.0272,44.9892,14z?hl=en","Maplink2")</f>
        <v>Maplink2</v>
      </c>
      <c r="AV282" s="20" t="str">
        <f>HYPERLINK("http://www.bing.com/maps/?lvl=14&amp;sty=h&amp;cp=34.0272~44.9892&amp;sp=point.34.0272_44.9892","Maplink3")</f>
        <v>Maplink3</v>
      </c>
    </row>
    <row r="283" spans="1:48" x14ac:dyDescent="0.25">
      <c r="A283" s="9">
        <v>25982</v>
      </c>
      <c r="B283" s="10" t="s">
        <v>13</v>
      </c>
      <c r="C283" s="10" t="s">
        <v>501</v>
      </c>
      <c r="D283" s="10" t="s">
        <v>567</v>
      </c>
      <c r="E283" s="10" t="s">
        <v>568</v>
      </c>
      <c r="F283" s="10">
        <v>34.04345</v>
      </c>
      <c r="G283" s="10">
        <v>44.961530000000003</v>
      </c>
      <c r="H283" s="11">
        <v>241</v>
      </c>
      <c r="I283" s="11">
        <v>1446</v>
      </c>
      <c r="J283" s="11"/>
      <c r="K283" s="11"/>
      <c r="L283" s="11"/>
      <c r="M283" s="11"/>
      <c r="N283" s="11"/>
      <c r="O283" s="11">
        <v>206</v>
      </c>
      <c r="P283" s="11"/>
      <c r="Q283" s="11"/>
      <c r="R283" s="11">
        <v>35</v>
      </c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>
        <v>30</v>
      </c>
      <c r="AD283" s="11"/>
      <c r="AE283" s="11"/>
      <c r="AF283" s="11"/>
      <c r="AG283" s="11"/>
      <c r="AH283" s="11"/>
      <c r="AI283" s="11"/>
      <c r="AJ283" s="11"/>
      <c r="AK283" s="11">
        <v>211</v>
      </c>
      <c r="AL283" s="11"/>
      <c r="AM283" s="11"/>
      <c r="AN283" s="11"/>
      <c r="AO283" s="11"/>
      <c r="AP283" s="11">
        <v>241</v>
      </c>
      <c r="AQ283" s="11"/>
      <c r="AR283" s="11"/>
      <c r="AS283" s="11"/>
      <c r="AT283" s="20" t="str">
        <f>HYPERLINK("http://www.openstreetmap.org/?mlat=34.0435&amp;mlon=44.9615&amp;zoom=12#map=12/34.0435/44.9615","Maplink1")</f>
        <v>Maplink1</v>
      </c>
      <c r="AU283" s="20" t="str">
        <f>HYPERLINK("https://www.google.iq/maps/search/+34.0435,44.9615/@34.0435,44.9615,14z?hl=en","Maplink2")</f>
        <v>Maplink2</v>
      </c>
      <c r="AV283" s="20" t="str">
        <f>HYPERLINK("http://www.bing.com/maps/?lvl=14&amp;sty=h&amp;cp=34.0435~44.9615&amp;sp=point.34.0435_44.9615","Maplink3")</f>
        <v>Maplink3</v>
      </c>
    </row>
    <row r="284" spans="1:48" x14ac:dyDescent="0.25">
      <c r="A284" s="9">
        <v>26073</v>
      </c>
      <c r="B284" s="10" t="s">
        <v>13</v>
      </c>
      <c r="C284" s="10" t="s">
        <v>501</v>
      </c>
      <c r="D284" s="10" t="s">
        <v>569</v>
      </c>
      <c r="E284" s="10" t="s">
        <v>570</v>
      </c>
      <c r="F284" s="10">
        <v>33.999200000000002</v>
      </c>
      <c r="G284" s="10">
        <v>44.881459999999997</v>
      </c>
      <c r="H284" s="11">
        <v>25</v>
      </c>
      <c r="I284" s="11">
        <v>150</v>
      </c>
      <c r="J284" s="11"/>
      <c r="K284" s="11"/>
      <c r="L284" s="11"/>
      <c r="M284" s="11"/>
      <c r="N284" s="11"/>
      <c r="O284" s="11">
        <v>25</v>
      </c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>
        <v>25</v>
      </c>
      <c r="AL284" s="11"/>
      <c r="AM284" s="11"/>
      <c r="AN284" s="11"/>
      <c r="AO284" s="11"/>
      <c r="AP284" s="11">
        <v>25</v>
      </c>
      <c r="AQ284" s="11"/>
      <c r="AR284" s="11"/>
      <c r="AS284" s="11"/>
      <c r="AT284" s="20" t="str">
        <f>HYPERLINK("http://www.openstreetmap.org/?mlat=33.9992&amp;mlon=44.8815&amp;zoom=12#map=12/33.9992/44.8815","Maplink1")</f>
        <v>Maplink1</v>
      </c>
      <c r="AU284" s="20" t="str">
        <f>HYPERLINK("https://www.google.iq/maps/search/+33.9992,44.8815/@33.9992,44.8815,14z?hl=en","Maplink2")</f>
        <v>Maplink2</v>
      </c>
      <c r="AV284" s="20" t="str">
        <f>HYPERLINK("http://www.bing.com/maps/?lvl=14&amp;sty=h&amp;cp=33.9992~44.8815&amp;sp=point.33.9992_44.8815","Maplink3")</f>
        <v>Maplink3</v>
      </c>
    </row>
    <row r="285" spans="1:48" x14ac:dyDescent="0.25">
      <c r="A285" s="9">
        <v>21308</v>
      </c>
      <c r="B285" s="10" t="s">
        <v>13</v>
      </c>
      <c r="C285" s="10" t="s">
        <v>501</v>
      </c>
      <c r="D285" s="10" t="s">
        <v>571</v>
      </c>
      <c r="E285" s="10" t="s">
        <v>572</v>
      </c>
      <c r="F285" s="10">
        <v>33.98359</v>
      </c>
      <c r="G285" s="10">
        <v>44.947240000000001</v>
      </c>
      <c r="H285" s="11">
        <v>24</v>
      </c>
      <c r="I285" s="11">
        <v>144</v>
      </c>
      <c r="J285" s="11"/>
      <c r="K285" s="11"/>
      <c r="L285" s="11"/>
      <c r="M285" s="11"/>
      <c r="N285" s="11"/>
      <c r="O285" s="11">
        <v>24</v>
      </c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>
        <v>24</v>
      </c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>
        <v>24</v>
      </c>
      <c r="AO285" s="11"/>
      <c r="AP285" s="11"/>
      <c r="AQ285" s="11"/>
      <c r="AR285" s="11"/>
      <c r="AS285" s="11"/>
      <c r="AT285" s="20" t="str">
        <f>HYPERLINK("http://www.openstreetmap.org/?mlat=33.9836&amp;mlon=44.9472&amp;zoom=12#map=12/33.9836/44.9472","Maplink1")</f>
        <v>Maplink1</v>
      </c>
      <c r="AU285" s="20" t="str">
        <f>HYPERLINK("https://www.google.iq/maps/search/+33.9836,44.9472/@33.9836,44.9472,14z?hl=en","Maplink2")</f>
        <v>Maplink2</v>
      </c>
      <c r="AV285" s="20" t="str">
        <f>HYPERLINK("http://www.bing.com/maps/?lvl=14&amp;sty=h&amp;cp=33.9836~44.9472&amp;sp=point.33.9836_44.9472","Maplink3")</f>
        <v>Maplink3</v>
      </c>
    </row>
    <row r="286" spans="1:48" x14ac:dyDescent="0.25">
      <c r="A286" s="9">
        <v>25685</v>
      </c>
      <c r="B286" s="10" t="s">
        <v>13</v>
      </c>
      <c r="C286" s="10" t="s">
        <v>501</v>
      </c>
      <c r="D286" s="10" t="s">
        <v>573</v>
      </c>
      <c r="E286" s="10" t="s">
        <v>574</v>
      </c>
      <c r="F286" s="10">
        <v>33.970100000000002</v>
      </c>
      <c r="G286" s="10">
        <v>44.88091</v>
      </c>
      <c r="H286" s="11">
        <v>177</v>
      </c>
      <c r="I286" s="11">
        <v>1062</v>
      </c>
      <c r="J286" s="11"/>
      <c r="K286" s="11"/>
      <c r="L286" s="11"/>
      <c r="M286" s="11"/>
      <c r="N286" s="11"/>
      <c r="O286" s="11">
        <v>177</v>
      </c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>
        <v>107</v>
      </c>
      <c r="AD286" s="11"/>
      <c r="AE286" s="11"/>
      <c r="AF286" s="11"/>
      <c r="AG286" s="11"/>
      <c r="AH286" s="11"/>
      <c r="AI286" s="11"/>
      <c r="AJ286" s="11"/>
      <c r="AK286" s="11">
        <v>70</v>
      </c>
      <c r="AL286" s="11"/>
      <c r="AM286" s="11"/>
      <c r="AN286" s="11"/>
      <c r="AO286" s="11"/>
      <c r="AP286" s="11">
        <v>177</v>
      </c>
      <c r="AQ286" s="11"/>
      <c r="AR286" s="11"/>
      <c r="AS286" s="11"/>
      <c r="AT286" s="20" t="str">
        <f>HYPERLINK("http://www.openstreetmap.org/?mlat=33.9701&amp;mlon=44.8809&amp;zoom=12#map=12/33.9701/44.8809","Maplink1")</f>
        <v>Maplink1</v>
      </c>
      <c r="AU286" s="20" t="str">
        <f>HYPERLINK("https://www.google.iq/maps/search/+33.9701,44.8809/@33.9701,44.8809,14z?hl=en","Maplink2")</f>
        <v>Maplink2</v>
      </c>
      <c r="AV286" s="20" t="str">
        <f>HYPERLINK("http://www.bing.com/maps/?lvl=14&amp;sty=h&amp;cp=33.9701~44.8809&amp;sp=point.33.9701_44.8809","Maplink3")</f>
        <v>Maplink3</v>
      </c>
    </row>
    <row r="287" spans="1:48" x14ac:dyDescent="0.25">
      <c r="A287" s="9">
        <v>25948</v>
      </c>
      <c r="B287" s="10" t="s">
        <v>13</v>
      </c>
      <c r="C287" s="10" t="s">
        <v>501</v>
      </c>
      <c r="D287" s="10" t="s">
        <v>575</v>
      </c>
      <c r="E287" s="10" t="s">
        <v>576</v>
      </c>
      <c r="F287" s="10">
        <v>34.048459999999999</v>
      </c>
      <c r="G287" s="10">
        <v>44.98265</v>
      </c>
      <c r="H287" s="11">
        <v>452</v>
      </c>
      <c r="I287" s="11">
        <v>2712</v>
      </c>
      <c r="J287" s="11"/>
      <c r="K287" s="11"/>
      <c r="L287" s="11"/>
      <c r="M287" s="11"/>
      <c r="N287" s="11"/>
      <c r="O287" s="11">
        <v>452</v>
      </c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>
        <v>306</v>
      </c>
      <c r="AD287" s="11"/>
      <c r="AE287" s="11"/>
      <c r="AF287" s="11"/>
      <c r="AG287" s="11"/>
      <c r="AH287" s="11"/>
      <c r="AI287" s="11"/>
      <c r="AJ287" s="11"/>
      <c r="AK287" s="11">
        <v>146</v>
      </c>
      <c r="AL287" s="11"/>
      <c r="AM287" s="11"/>
      <c r="AN287" s="11">
        <v>130</v>
      </c>
      <c r="AO287" s="11"/>
      <c r="AP287" s="11">
        <v>322</v>
      </c>
      <c r="AQ287" s="11"/>
      <c r="AR287" s="11"/>
      <c r="AS287" s="11"/>
      <c r="AT287" s="20" t="str">
        <f>HYPERLINK("http://www.openstreetmap.org/?mlat=34.0485&amp;mlon=44.9827&amp;zoom=12#map=12/34.0485/44.9827","Maplink1")</f>
        <v>Maplink1</v>
      </c>
      <c r="AU287" s="20" t="str">
        <f>HYPERLINK("https://www.google.iq/maps/search/+34.0485,44.9827/@34.0485,44.9827,14z?hl=en","Maplink2")</f>
        <v>Maplink2</v>
      </c>
      <c r="AV287" s="20" t="str">
        <f>HYPERLINK("http://www.bing.com/maps/?lvl=14&amp;sty=h&amp;cp=34.0485~44.9827&amp;sp=point.34.0485_44.9827","Maplink3")</f>
        <v>Maplink3</v>
      </c>
    </row>
    <row r="288" spans="1:48" x14ac:dyDescent="0.25">
      <c r="A288" s="9">
        <v>26029</v>
      </c>
      <c r="B288" s="10" t="s">
        <v>13</v>
      </c>
      <c r="C288" s="10" t="s">
        <v>501</v>
      </c>
      <c r="D288" s="10" t="s">
        <v>577</v>
      </c>
      <c r="E288" s="10" t="s">
        <v>578</v>
      </c>
      <c r="F288" s="10">
        <v>33.991300000000003</v>
      </c>
      <c r="G288" s="10">
        <v>44.871499999999997</v>
      </c>
      <c r="H288" s="11">
        <v>380</v>
      </c>
      <c r="I288" s="11">
        <v>2280</v>
      </c>
      <c r="J288" s="11"/>
      <c r="K288" s="11"/>
      <c r="L288" s="11"/>
      <c r="M288" s="11"/>
      <c r="N288" s="11"/>
      <c r="O288" s="11">
        <v>380</v>
      </c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>
        <v>200</v>
      </c>
      <c r="AD288" s="11"/>
      <c r="AE288" s="11"/>
      <c r="AF288" s="11"/>
      <c r="AG288" s="11"/>
      <c r="AH288" s="11"/>
      <c r="AI288" s="11"/>
      <c r="AJ288" s="11"/>
      <c r="AK288" s="11">
        <v>180</v>
      </c>
      <c r="AL288" s="11"/>
      <c r="AM288" s="11"/>
      <c r="AN288" s="11"/>
      <c r="AO288" s="11"/>
      <c r="AP288" s="11">
        <v>380</v>
      </c>
      <c r="AQ288" s="11"/>
      <c r="AR288" s="11"/>
      <c r="AS288" s="11"/>
      <c r="AT288" s="20" t="str">
        <f>HYPERLINK("http://www.openstreetmap.org/?mlat=33.9913&amp;mlon=44.8715&amp;zoom=12#map=12/33.9913/44.8715","Maplink1")</f>
        <v>Maplink1</v>
      </c>
      <c r="AU288" s="20" t="str">
        <f>HYPERLINK("https://www.google.iq/maps/search/+33.9913,44.8715/@33.9913,44.8715,14z?hl=en","Maplink2")</f>
        <v>Maplink2</v>
      </c>
      <c r="AV288" s="20" t="str">
        <f>HYPERLINK("http://www.bing.com/maps/?lvl=14&amp;sty=h&amp;cp=33.9913~44.8715&amp;sp=point.33.9913_44.8715","Maplink3")</f>
        <v>Maplink3</v>
      </c>
    </row>
    <row r="289" spans="1:48" x14ac:dyDescent="0.25">
      <c r="A289" s="9">
        <v>26115</v>
      </c>
      <c r="B289" s="10" t="s">
        <v>13</v>
      </c>
      <c r="C289" s="10" t="s">
        <v>501</v>
      </c>
      <c r="D289" s="10" t="s">
        <v>579</v>
      </c>
      <c r="E289" s="10" t="s">
        <v>580</v>
      </c>
      <c r="F289" s="10">
        <v>34.022950000000002</v>
      </c>
      <c r="G289" s="10">
        <v>44.957000000000001</v>
      </c>
      <c r="H289" s="11">
        <v>750</v>
      </c>
      <c r="I289" s="11">
        <v>4500</v>
      </c>
      <c r="J289" s="11"/>
      <c r="K289" s="11"/>
      <c r="L289" s="11"/>
      <c r="M289" s="11"/>
      <c r="N289" s="11"/>
      <c r="O289" s="11">
        <v>685</v>
      </c>
      <c r="P289" s="11"/>
      <c r="Q289" s="11"/>
      <c r="R289" s="11">
        <v>50</v>
      </c>
      <c r="S289" s="11"/>
      <c r="T289" s="11"/>
      <c r="U289" s="11"/>
      <c r="V289" s="11"/>
      <c r="W289" s="11"/>
      <c r="X289" s="11"/>
      <c r="Y289" s="11">
        <v>15</v>
      </c>
      <c r="Z289" s="11"/>
      <c r="AA289" s="11"/>
      <c r="AB289" s="11"/>
      <c r="AC289" s="11">
        <v>636</v>
      </c>
      <c r="AD289" s="11"/>
      <c r="AE289" s="11"/>
      <c r="AF289" s="11"/>
      <c r="AG289" s="11"/>
      <c r="AH289" s="11"/>
      <c r="AI289" s="11"/>
      <c r="AJ289" s="11"/>
      <c r="AK289" s="11">
        <v>114</v>
      </c>
      <c r="AL289" s="11"/>
      <c r="AM289" s="11"/>
      <c r="AN289" s="11"/>
      <c r="AO289" s="11"/>
      <c r="AP289" s="11">
        <v>750</v>
      </c>
      <c r="AQ289" s="11"/>
      <c r="AR289" s="11"/>
      <c r="AS289" s="11"/>
      <c r="AT289" s="20" t="str">
        <f>HYPERLINK("http://www.openstreetmap.org/?mlat=34.023&amp;mlon=44.957&amp;zoom=12#map=12/34.023/44.957","Maplink1")</f>
        <v>Maplink1</v>
      </c>
      <c r="AU289" s="20" t="str">
        <f>HYPERLINK("https://www.google.iq/maps/search/+34.023,44.957/@34.023,44.957,14z?hl=en","Maplink2")</f>
        <v>Maplink2</v>
      </c>
      <c r="AV289" s="20" t="str">
        <f>HYPERLINK("http://www.bing.com/maps/?lvl=14&amp;sty=h&amp;cp=34.023~44.957&amp;sp=point.34.023_44.957","Maplink3")</f>
        <v>Maplink3</v>
      </c>
    </row>
    <row r="290" spans="1:48" x14ac:dyDescent="0.25">
      <c r="A290" s="9">
        <v>26031</v>
      </c>
      <c r="B290" s="10" t="s">
        <v>13</v>
      </c>
      <c r="C290" s="10" t="s">
        <v>501</v>
      </c>
      <c r="D290" s="10" t="s">
        <v>581</v>
      </c>
      <c r="E290" s="10" t="s">
        <v>582</v>
      </c>
      <c r="F290" s="10">
        <v>34.037039999999998</v>
      </c>
      <c r="G290" s="10">
        <v>44.929110000000001</v>
      </c>
      <c r="H290" s="11">
        <v>45</v>
      </c>
      <c r="I290" s="11">
        <v>270</v>
      </c>
      <c r="J290" s="11"/>
      <c r="K290" s="11"/>
      <c r="L290" s="11"/>
      <c r="M290" s="11"/>
      <c r="N290" s="11"/>
      <c r="O290" s="11">
        <v>42</v>
      </c>
      <c r="P290" s="11"/>
      <c r="Q290" s="11"/>
      <c r="R290" s="11">
        <v>3</v>
      </c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>
        <v>10</v>
      </c>
      <c r="AD290" s="11"/>
      <c r="AE290" s="11"/>
      <c r="AF290" s="11"/>
      <c r="AG290" s="11"/>
      <c r="AH290" s="11"/>
      <c r="AI290" s="11"/>
      <c r="AJ290" s="11"/>
      <c r="AK290" s="11">
        <v>35</v>
      </c>
      <c r="AL290" s="11"/>
      <c r="AM290" s="11"/>
      <c r="AN290" s="11"/>
      <c r="AO290" s="11"/>
      <c r="AP290" s="11">
        <v>45</v>
      </c>
      <c r="AQ290" s="11"/>
      <c r="AR290" s="11"/>
      <c r="AS290" s="11"/>
      <c r="AT290" s="20" t="str">
        <f>HYPERLINK("http://www.openstreetmap.org/?mlat=34.037&amp;mlon=44.9291&amp;zoom=12#map=12/34.037/44.9291","Maplink1")</f>
        <v>Maplink1</v>
      </c>
      <c r="AU290" s="20" t="str">
        <f>HYPERLINK("https://www.google.iq/maps/search/+34.037,44.9291/@34.037,44.9291,14z?hl=en","Maplink2")</f>
        <v>Maplink2</v>
      </c>
      <c r="AV290" s="20" t="str">
        <f>HYPERLINK("http://www.bing.com/maps/?lvl=14&amp;sty=h&amp;cp=34.037~44.9291&amp;sp=point.34.037_44.9291","Maplink3")</f>
        <v>Maplink3</v>
      </c>
    </row>
    <row r="291" spans="1:48" x14ac:dyDescent="0.25">
      <c r="A291" s="9">
        <v>11287</v>
      </c>
      <c r="B291" s="10" t="s">
        <v>13</v>
      </c>
      <c r="C291" s="10" t="s">
        <v>501</v>
      </c>
      <c r="D291" s="10" t="s">
        <v>583</v>
      </c>
      <c r="E291" s="10" t="s">
        <v>584</v>
      </c>
      <c r="F291" s="10">
        <v>34.001640000000002</v>
      </c>
      <c r="G291" s="10">
        <v>44.988309999999998</v>
      </c>
      <c r="H291" s="11">
        <v>319</v>
      </c>
      <c r="I291" s="11">
        <v>1914</v>
      </c>
      <c r="J291" s="11"/>
      <c r="K291" s="11"/>
      <c r="L291" s="11"/>
      <c r="M291" s="11"/>
      <c r="N291" s="11"/>
      <c r="O291" s="11">
        <v>219</v>
      </c>
      <c r="P291" s="11"/>
      <c r="Q291" s="11"/>
      <c r="R291" s="11"/>
      <c r="S291" s="11"/>
      <c r="T291" s="11"/>
      <c r="U291" s="11"/>
      <c r="V291" s="11"/>
      <c r="W291" s="11"/>
      <c r="X291" s="11"/>
      <c r="Y291" s="11">
        <v>100</v>
      </c>
      <c r="Z291" s="11"/>
      <c r="AA291" s="11"/>
      <c r="AB291" s="11"/>
      <c r="AC291" s="11">
        <v>64</v>
      </c>
      <c r="AD291" s="11"/>
      <c r="AE291" s="11"/>
      <c r="AF291" s="11"/>
      <c r="AG291" s="11"/>
      <c r="AH291" s="11"/>
      <c r="AI291" s="11"/>
      <c r="AJ291" s="11"/>
      <c r="AK291" s="11">
        <v>255</v>
      </c>
      <c r="AL291" s="11"/>
      <c r="AM291" s="11"/>
      <c r="AN291" s="11"/>
      <c r="AO291" s="11"/>
      <c r="AP291" s="11">
        <v>319</v>
      </c>
      <c r="AQ291" s="11"/>
      <c r="AR291" s="11"/>
      <c r="AS291" s="11"/>
      <c r="AT291" s="20" t="str">
        <f>HYPERLINK("http://www.openstreetmap.org/?mlat=34.0016&amp;mlon=44.9883&amp;zoom=12#map=12/34.0016/44.9883","Maplink1")</f>
        <v>Maplink1</v>
      </c>
      <c r="AU291" s="20" t="str">
        <f>HYPERLINK("https://www.google.iq/maps/search/+34.0016,44.9883/@34.0016,44.9883,14z?hl=en","Maplink2")</f>
        <v>Maplink2</v>
      </c>
      <c r="AV291" s="20" t="str">
        <f>HYPERLINK("http://www.bing.com/maps/?lvl=14&amp;sty=h&amp;cp=34.0016~44.9883&amp;sp=point.34.0016_44.9883","Maplink3")</f>
        <v>Maplink3</v>
      </c>
    </row>
    <row r="292" spans="1:48" x14ac:dyDescent="0.25">
      <c r="A292" s="9">
        <v>23131</v>
      </c>
      <c r="B292" s="10" t="s">
        <v>13</v>
      </c>
      <c r="C292" s="10" t="s">
        <v>501</v>
      </c>
      <c r="D292" s="10" t="s">
        <v>585</v>
      </c>
      <c r="E292" s="10" t="s">
        <v>586</v>
      </c>
      <c r="F292" s="10">
        <v>34.00309</v>
      </c>
      <c r="G292" s="10">
        <v>44.889620000000001</v>
      </c>
      <c r="H292" s="11">
        <v>49</v>
      </c>
      <c r="I292" s="11">
        <v>294</v>
      </c>
      <c r="J292" s="11"/>
      <c r="K292" s="11"/>
      <c r="L292" s="11"/>
      <c r="M292" s="11"/>
      <c r="N292" s="11"/>
      <c r="O292" s="11">
        <v>49</v>
      </c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>
        <v>49</v>
      </c>
      <c r="AL292" s="11"/>
      <c r="AM292" s="11"/>
      <c r="AN292" s="11"/>
      <c r="AO292" s="11"/>
      <c r="AP292" s="11">
        <v>49</v>
      </c>
      <c r="AQ292" s="11"/>
      <c r="AR292" s="11"/>
      <c r="AS292" s="11"/>
      <c r="AT292" s="20" t="str">
        <f>HYPERLINK("http://www.openstreetmap.org/?mlat=34.0031&amp;mlon=44.8896&amp;zoom=12#map=12/34.0031/44.8896","Maplink1")</f>
        <v>Maplink1</v>
      </c>
      <c r="AU292" s="20" t="str">
        <f>HYPERLINK("https://www.google.iq/maps/search/+34.0031,44.8896/@34.0031,44.8896,14z?hl=en","Maplink2")</f>
        <v>Maplink2</v>
      </c>
      <c r="AV292" s="20" t="str">
        <f>HYPERLINK("http://www.bing.com/maps/?lvl=14&amp;sty=h&amp;cp=34.0031~44.8896&amp;sp=point.34.0031_44.8896","Maplink3")</f>
        <v>Maplink3</v>
      </c>
    </row>
    <row r="293" spans="1:48" x14ac:dyDescent="0.25">
      <c r="A293" s="9">
        <v>25679</v>
      </c>
      <c r="B293" s="10" t="s">
        <v>13</v>
      </c>
      <c r="C293" s="10" t="s">
        <v>501</v>
      </c>
      <c r="D293" s="10" t="s">
        <v>587</v>
      </c>
      <c r="E293" s="10" t="s">
        <v>588</v>
      </c>
      <c r="F293" s="10">
        <v>33.973759999999999</v>
      </c>
      <c r="G293" s="10">
        <v>44.947180000000003</v>
      </c>
      <c r="H293" s="11">
        <v>140</v>
      </c>
      <c r="I293" s="11">
        <v>840</v>
      </c>
      <c r="J293" s="11"/>
      <c r="K293" s="11"/>
      <c r="L293" s="11"/>
      <c r="M293" s="11"/>
      <c r="N293" s="11"/>
      <c r="O293" s="11">
        <v>140</v>
      </c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>
        <v>40</v>
      </c>
      <c r="AD293" s="11"/>
      <c r="AE293" s="11"/>
      <c r="AF293" s="11"/>
      <c r="AG293" s="11"/>
      <c r="AH293" s="11"/>
      <c r="AI293" s="11"/>
      <c r="AJ293" s="11"/>
      <c r="AK293" s="11">
        <v>100</v>
      </c>
      <c r="AL293" s="11"/>
      <c r="AM293" s="11"/>
      <c r="AN293" s="11"/>
      <c r="AO293" s="11"/>
      <c r="AP293" s="11">
        <v>140</v>
      </c>
      <c r="AQ293" s="11"/>
      <c r="AR293" s="11"/>
      <c r="AS293" s="11"/>
      <c r="AT293" s="20" t="str">
        <f>HYPERLINK("http://www.openstreetmap.org/?mlat=33.9738&amp;mlon=44.9472&amp;zoom=12#map=12/33.9738/44.9472","Maplink1")</f>
        <v>Maplink1</v>
      </c>
      <c r="AU293" s="20" t="str">
        <f>HYPERLINK("https://www.google.iq/maps/search/+33.9738,44.9472/@33.9738,44.9472,14z?hl=en","Maplink2")</f>
        <v>Maplink2</v>
      </c>
      <c r="AV293" s="20" t="str">
        <f>HYPERLINK("http://www.bing.com/maps/?lvl=14&amp;sty=h&amp;cp=33.9738~44.9472&amp;sp=point.33.9738_44.9472","Maplink3")</f>
        <v>Maplink3</v>
      </c>
    </row>
    <row r="294" spans="1:48" x14ac:dyDescent="0.25">
      <c r="A294" s="9">
        <v>26113</v>
      </c>
      <c r="B294" s="10" t="s">
        <v>13</v>
      </c>
      <c r="C294" s="10" t="s">
        <v>501</v>
      </c>
      <c r="D294" s="10" t="s">
        <v>589</v>
      </c>
      <c r="E294" s="10" t="s">
        <v>590</v>
      </c>
      <c r="F294" s="10">
        <v>34.059930000000001</v>
      </c>
      <c r="G294" s="10">
        <v>44.981920000000002</v>
      </c>
      <c r="H294" s="11">
        <v>60</v>
      </c>
      <c r="I294" s="11">
        <v>360</v>
      </c>
      <c r="J294" s="11"/>
      <c r="K294" s="11"/>
      <c r="L294" s="11"/>
      <c r="M294" s="11"/>
      <c r="N294" s="11"/>
      <c r="O294" s="11">
        <v>60</v>
      </c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>
        <v>60</v>
      </c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>
        <v>60</v>
      </c>
      <c r="AQ294" s="11"/>
      <c r="AR294" s="11"/>
      <c r="AS294" s="11"/>
      <c r="AT294" s="20" t="str">
        <f>HYPERLINK("http://www.openstreetmap.org/?mlat=34.0599&amp;mlon=44.9819&amp;zoom=12#map=12/34.0599/44.9819","Maplink1")</f>
        <v>Maplink1</v>
      </c>
      <c r="AU294" s="20" t="str">
        <f>HYPERLINK("https://www.google.iq/maps/search/+34.0599,44.9819/@34.0599,44.9819,14z?hl=en","Maplink2")</f>
        <v>Maplink2</v>
      </c>
      <c r="AV294" s="20" t="str">
        <f>HYPERLINK("http://www.bing.com/maps/?lvl=14&amp;sty=h&amp;cp=34.0599~44.9819&amp;sp=point.34.0599_44.9819","Maplink3")</f>
        <v>Maplink3</v>
      </c>
    </row>
    <row r="295" spans="1:48" x14ac:dyDescent="0.25">
      <c r="A295" s="9">
        <v>27155</v>
      </c>
      <c r="B295" s="10" t="s">
        <v>13</v>
      </c>
      <c r="C295" s="10" t="s">
        <v>501</v>
      </c>
      <c r="D295" s="10" t="s">
        <v>591</v>
      </c>
      <c r="E295" s="10" t="s">
        <v>592</v>
      </c>
      <c r="F295" s="10">
        <v>34.000590000000003</v>
      </c>
      <c r="G295" s="10">
        <v>44.942259999999997</v>
      </c>
      <c r="H295" s="11">
        <v>60</v>
      </c>
      <c r="I295" s="11">
        <v>360</v>
      </c>
      <c r="J295" s="11"/>
      <c r="K295" s="11"/>
      <c r="L295" s="11"/>
      <c r="M295" s="11"/>
      <c r="N295" s="11"/>
      <c r="O295" s="11">
        <v>45</v>
      </c>
      <c r="P295" s="11"/>
      <c r="Q295" s="11"/>
      <c r="R295" s="11">
        <v>15</v>
      </c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>
        <v>5</v>
      </c>
      <c r="AD295" s="11"/>
      <c r="AE295" s="11"/>
      <c r="AF295" s="11"/>
      <c r="AG295" s="11"/>
      <c r="AH295" s="11"/>
      <c r="AI295" s="11"/>
      <c r="AJ295" s="11"/>
      <c r="AK295" s="11">
        <v>55</v>
      </c>
      <c r="AL295" s="11"/>
      <c r="AM295" s="11"/>
      <c r="AN295" s="11">
        <v>60</v>
      </c>
      <c r="AO295" s="11"/>
      <c r="AP295" s="11"/>
      <c r="AQ295" s="11"/>
      <c r="AR295" s="11"/>
      <c r="AS295" s="11"/>
      <c r="AT295" s="20" t="str">
        <f>HYPERLINK("http://www.openstreetmap.org/?mlat=34.0006&amp;mlon=44.9423&amp;zoom=12#map=12/34.0006/44.9423","Maplink1")</f>
        <v>Maplink1</v>
      </c>
      <c r="AU295" s="20" t="str">
        <f>HYPERLINK("https://www.google.iq/maps/search/+34.0006,44.9423/@34.0006,44.9423,14z?hl=en","Maplink2")</f>
        <v>Maplink2</v>
      </c>
      <c r="AV295" s="20" t="str">
        <f>HYPERLINK("http://www.bing.com/maps/?lvl=14&amp;sty=h&amp;cp=34.0006~44.9423&amp;sp=point.34.0006_44.9423","Maplink3")</f>
        <v>Maplink3</v>
      </c>
    </row>
    <row r="296" spans="1:48" x14ac:dyDescent="0.25">
      <c r="A296" s="9">
        <v>27156</v>
      </c>
      <c r="B296" s="10" t="s">
        <v>13</v>
      </c>
      <c r="C296" s="10" t="s">
        <v>501</v>
      </c>
      <c r="D296" s="10" t="s">
        <v>593</v>
      </c>
      <c r="E296" s="10" t="s">
        <v>594</v>
      </c>
      <c r="F296" s="10">
        <v>34.00217</v>
      </c>
      <c r="G296" s="10">
        <v>44.943530000000003</v>
      </c>
      <c r="H296" s="11">
        <v>65</v>
      </c>
      <c r="I296" s="11">
        <v>390</v>
      </c>
      <c r="J296" s="11"/>
      <c r="K296" s="11"/>
      <c r="L296" s="11"/>
      <c r="M296" s="11"/>
      <c r="N296" s="11"/>
      <c r="O296" s="11">
        <v>50</v>
      </c>
      <c r="P296" s="11"/>
      <c r="Q296" s="11"/>
      <c r="R296" s="11">
        <v>15</v>
      </c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>
        <v>18</v>
      </c>
      <c r="AD296" s="11"/>
      <c r="AE296" s="11"/>
      <c r="AF296" s="11"/>
      <c r="AG296" s="11"/>
      <c r="AH296" s="11"/>
      <c r="AI296" s="11"/>
      <c r="AJ296" s="11"/>
      <c r="AK296" s="11">
        <v>47</v>
      </c>
      <c r="AL296" s="11"/>
      <c r="AM296" s="11"/>
      <c r="AN296" s="11">
        <v>65</v>
      </c>
      <c r="AO296" s="11"/>
      <c r="AP296" s="11"/>
      <c r="AQ296" s="11"/>
      <c r="AR296" s="11"/>
      <c r="AS296" s="11"/>
      <c r="AT296" s="20" t="str">
        <f>HYPERLINK("http://www.openstreetmap.org/?mlat=34.0022&amp;mlon=44.9435&amp;zoom=12#map=12/34.0022/44.9435","Maplink1")</f>
        <v>Maplink1</v>
      </c>
      <c r="AU296" s="20" t="str">
        <f>HYPERLINK("https://www.google.iq/maps/search/+34.0022,44.9435/@34.0022,44.9435,14z?hl=en","Maplink2")</f>
        <v>Maplink2</v>
      </c>
      <c r="AV296" s="20" t="str">
        <f>HYPERLINK("http://www.bing.com/maps/?lvl=14&amp;sty=h&amp;cp=34.0022~44.9435&amp;sp=point.34.0022_44.9435","Maplink3")</f>
        <v>Maplink3</v>
      </c>
    </row>
    <row r="297" spans="1:48" x14ac:dyDescent="0.25">
      <c r="A297" s="9">
        <v>27392</v>
      </c>
      <c r="B297" s="10" t="s">
        <v>13</v>
      </c>
      <c r="C297" s="10" t="s">
        <v>595</v>
      </c>
      <c r="D297" s="10" t="s">
        <v>596</v>
      </c>
      <c r="E297" s="10" t="s">
        <v>597</v>
      </c>
      <c r="F297" s="10">
        <v>34.350825804999999</v>
      </c>
      <c r="G297" s="10">
        <v>45.415341887300002</v>
      </c>
      <c r="H297" s="11">
        <v>378</v>
      </c>
      <c r="I297" s="11">
        <v>2268</v>
      </c>
      <c r="J297" s="11"/>
      <c r="K297" s="11"/>
      <c r="L297" s="11"/>
      <c r="M297" s="11"/>
      <c r="N297" s="11"/>
      <c r="O297" s="11">
        <v>340</v>
      </c>
      <c r="P297" s="11"/>
      <c r="Q297" s="11"/>
      <c r="R297" s="11">
        <v>15</v>
      </c>
      <c r="S297" s="11"/>
      <c r="T297" s="11"/>
      <c r="U297" s="11"/>
      <c r="V297" s="11"/>
      <c r="W297" s="11"/>
      <c r="X297" s="11"/>
      <c r="Y297" s="11">
        <v>23</v>
      </c>
      <c r="Z297" s="11"/>
      <c r="AA297" s="11"/>
      <c r="AB297" s="11"/>
      <c r="AC297" s="11">
        <v>378</v>
      </c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>
        <v>378</v>
      </c>
      <c r="AO297" s="11"/>
      <c r="AP297" s="11"/>
      <c r="AQ297" s="11"/>
      <c r="AR297" s="11"/>
      <c r="AS297" s="11"/>
      <c r="AT297" s="20" t="str">
        <f>HYPERLINK("http://www.openstreetmap.org/?mlat=34.3508&amp;mlon=45.4153&amp;zoom=12#map=12/34.3508/45.4153","Maplink1")</f>
        <v>Maplink1</v>
      </c>
      <c r="AU297" s="20" t="str">
        <f>HYPERLINK("https://www.google.iq/maps/search/+34.3508,45.4153/@34.3508,45.4153,14z?hl=en","Maplink2")</f>
        <v>Maplink2</v>
      </c>
      <c r="AV297" s="20" t="str">
        <f>HYPERLINK("http://www.bing.com/maps/?lvl=14&amp;sty=h&amp;cp=34.3508~45.4153&amp;sp=point.34.3508_45.4153","Maplink3")</f>
        <v>Maplink3</v>
      </c>
    </row>
    <row r="298" spans="1:48" x14ac:dyDescent="0.25">
      <c r="A298" s="9">
        <v>11435</v>
      </c>
      <c r="B298" s="10" t="s">
        <v>13</v>
      </c>
      <c r="C298" s="10" t="s">
        <v>595</v>
      </c>
      <c r="D298" s="10" t="s">
        <v>598</v>
      </c>
      <c r="E298" s="10" t="s">
        <v>599</v>
      </c>
      <c r="F298" s="10">
        <v>34.175274389999998</v>
      </c>
      <c r="G298" s="10">
        <v>45.112580530000002</v>
      </c>
      <c r="H298" s="11">
        <v>174</v>
      </c>
      <c r="I298" s="11">
        <v>1044</v>
      </c>
      <c r="J298" s="11"/>
      <c r="K298" s="11"/>
      <c r="L298" s="11"/>
      <c r="M298" s="11"/>
      <c r="N298" s="11"/>
      <c r="O298" s="11">
        <v>140</v>
      </c>
      <c r="P298" s="11"/>
      <c r="Q298" s="11"/>
      <c r="R298" s="11">
        <v>20</v>
      </c>
      <c r="S298" s="11"/>
      <c r="T298" s="11"/>
      <c r="U298" s="11"/>
      <c r="V298" s="11"/>
      <c r="W298" s="11"/>
      <c r="X298" s="11"/>
      <c r="Y298" s="11">
        <v>14</v>
      </c>
      <c r="Z298" s="11"/>
      <c r="AA298" s="11"/>
      <c r="AB298" s="11"/>
      <c r="AC298" s="11">
        <v>30</v>
      </c>
      <c r="AD298" s="11">
        <v>100</v>
      </c>
      <c r="AE298" s="11"/>
      <c r="AF298" s="11"/>
      <c r="AG298" s="11"/>
      <c r="AH298" s="11"/>
      <c r="AI298" s="11">
        <v>14</v>
      </c>
      <c r="AJ298" s="11"/>
      <c r="AK298" s="11">
        <v>30</v>
      </c>
      <c r="AL298" s="11"/>
      <c r="AM298" s="11"/>
      <c r="AN298" s="11"/>
      <c r="AO298" s="11"/>
      <c r="AP298" s="11">
        <v>174</v>
      </c>
      <c r="AQ298" s="11"/>
      <c r="AR298" s="11"/>
      <c r="AS298" s="11"/>
      <c r="AT298" s="20" t="str">
        <f>HYPERLINK("http://www.openstreetmap.org/?mlat=34.1753&amp;mlon=45.1126&amp;zoom=12#map=12/34.1753/45.1126","Maplink1")</f>
        <v>Maplink1</v>
      </c>
      <c r="AU298" s="20" t="str">
        <f>HYPERLINK("https://www.google.iq/maps/search/+34.1753,45.1126/@34.1753,45.1126,14z?hl=en","Maplink2")</f>
        <v>Maplink2</v>
      </c>
      <c r="AV298" s="20" t="str">
        <f>HYPERLINK("http://www.bing.com/maps/?lvl=14&amp;sty=h&amp;cp=34.1753~45.1126&amp;sp=point.34.1753_45.1126","Maplink3")</f>
        <v>Maplink3</v>
      </c>
    </row>
    <row r="299" spans="1:48" x14ac:dyDescent="0.25">
      <c r="A299" s="9">
        <v>25702</v>
      </c>
      <c r="B299" s="10" t="s">
        <v>13</v>
      </c>
      <c r="C299" s="10" t="s">
        <v>595</v>
      </c>
      <c r="D299" s="10" t="s">
        <v>600</v>
      </c>
      <c r="E299" s="10" t="s">
        <v>601</v>
      </c>
      <c r="F299" s="10">
        <v>34.287336750000001</v>
      </c>
      <c r="G299" s="10">
        <v>45.153023320000003</v>
      </c>
      <c r="H299" s="11">
        <v>220</v>
      </c>
      <c r="I299" s="11">
        <v>1320</v>
      </c>
      <c r="J299" s="11"/>
      <c r="K299" s="11"/>
      <c r="L299" s="11"/>
      <c r="M299" s="11"/>
      <c r="N299" s="11"/>
      <c r="O299" s="11">
        <v>120</v>
      </c>
      <c r="P299" s="11"/>
      <c r="Q299" s="11"/>
      <c r="R299" s="11">
        <v>40</v>
      </c>
      <c r="S299" s="11"/>
      <c r="T299" s="11"/>
      <c r="U299" s="11"/>
      <c r="V299" s="11"/>
      <c r="W299" s="11"/>
      <c r="X299" s="11"/>
      <c r="Y299" s="11">
        <v>60</v>
      </c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>
        <v>220</v>
      </c>
      <c r="AL299" s="11"/>
      <c r="AM299" s="11"/>
      <c r="AN299" s="11"/>
      <c r="AO299" s="11"/>
      <c r="AP299" s="11">
        <v>220</v>
      </c>
      <c r="AQ299" s="11"/>
      <c r="AR299" s="11"/>
      <c r="AS299" s="11"/>
      <c r="AT299" s="20" t="str">
        <f>HYPERLINK("http://www.openstreetmap.org/?mlat=34.2873&amp;mlon=45.153&amp;zoom=12#map=12/34.2873/45.153","Maplink1")</f>
        <v>Maplink1</v>
      </c>
      <c r="AU299" s="20" t="str">
        <f>HYPERLINK("https://www.google.iq/maps/search/+34.2873,45.153/@34.2873,45.153,14z?hl=en","Maplink2")</f>
        <v>Maplink2</v>
      </c>
      <c r="AV299" s="20" t="str">
        <f>HYPERLINK("http://www.bing.com/maps/?lvl=14&amp;sty=h&amp;cp=34.2873~45.153&amp;sp=point.34.2873_45.153","Maplink3")</f>
        <v>Maplink3</v>
      </c>
    </row>
    <row r="300" spans="1:48" x14ac:dyDescent="0.25">
      <c r="A300" s="9">
        <v>26124</v>
      </c>
      <c r="B300" s="10" t="s">
        <v>13</v>
      </c>
      <c r="C300" s="10" t="s">
        <v>595</v>
      </c>
      <c r="D300" s="10" t="s">
        <v>602</v>
      </c>
      <c r="E300" s="10" t="s">
        <v>603</v>
      </c>
      <c r="F300" s="10">
        <v>34.188362410000003</v>
      </c>
      <c r="G300" s="10">
        <v>45.118962860000003</v>
      </c>
      <c r="H300" s="11">
        <v>308</v>
      </c>
      <c r="I300" s="11">
        <v>1848</v>
      </c>
      <c r="J300" s="11"/>
      <c r="K300" s="11"/>
      <c r="L300" s="11"/>
      <c r="M300" s="11"/>
      <c r="N300" s="11"/>
      <c r="O300" s="11">
        <v>280</v>
      </c>
      <c r="P300" s="11">
        <v>5</v>
      </c>
      <c r="Q300" s="11"/>
      <c r="R300" s="11">
        <v>11</v>
      </c>
      <c r="S300" s="11"/>
      <c r="T300" s="11"/>
      <c r="U300" s="11"/>
      <c r="V300" s="11"/>
      <c r="W300" s="11"/>
      <c r="X300" s="11"/>
      <c r="Y300" s="11">
        <v>12</v>
      </c>
      <c r="Z300" s="11"/>
      <c r="AA300" s="11"/>
      <c r="AB300" s="11"/>
      <c r="AC300" s="11">
        <v>180</v>
      </c>
      <c r="AD300" s="11">
        <v>61</v>
      </c>
      <c r="AE300" s="11"/>
      <c r="AF300" s="11"/>
      <c r="AG300" s="11"/>
      <c r="AH300" s="11"/>
      <c r="AI300" s="11"/>
      <c r="AJ300" s="11"/>
      <c r="AK300" s="11">
        <v>67</v>
      </c>
      <c r="AL300" s="11"/>
      <c r="AM300" s="11"/>
      <c r="AN300" s="11">
        <v>308</v>
      </c>
      <c r="AO300" s="11"/>
      <c r="AP300" s="11"/>
      <c r="AQ300" s="11"/>
      <c r="AR300" s="11"/>
      <c r="AS300" s="11"/>
      <c r="AT300" s="20" t="str">
        <f>HYPERLINK("http://www.openstreetmap.org/?mlat=34.1884&amp;mlon=45.119&amp;zoom=12#map=12/34.1884/45.119","Maplink1")</f>
        <v>Maplink1</v>
      </c>
      <c r="AU300" s="20" t="str">
        <f>HYPERLINK("https://www.google.iq/maps/search/+34.1884,45.119/@34.1884,45.119,14z?hl=en","Maplink2")</f>
        <v>Maplink2</v>
      </c>
      <c r="AV300" s="20" t="str">
        <f>HYPERLINK("http://www.bing.com/maps/?lvl=14&amp;sty=h&amp;cp=34.1884~45.119&amp;sp=point.34.1884_45.119","Maplink3")</f>
        <v>Maplink3</v>
      </c>
    </row>
    <row r="301" spans="1:48" x14ac:dyDescent="0.25">
      <c r="A301" s="9">
        <v>29569</v>
      </c>
      <c r="B301" s="10" t="s">
        <v>13</v>
      </c>
      <c r="C301" s="10" t="s">
        <v>595</v>
      </c>
      <c r="D301" s="10" t="s">
        <v>604</v>
      </c>
      <c r="E301" s="10" t="s">
        <v>605</v>
      </c>
      <c r="F301" s="10">
        <v>34.277075619999998</v>
      </c>
      <c r="G301" s="10">
        <v>45.166801810000003</v>
      </c>
      <c r="H301" s="11">
        <v>2230</v>
      </c>
      <c r="I301" s="11">
        <v>13380</v>
      </c>
      <c r="J301" s="11"/>
      <c r="K301" s="11"/>
      <c r="L301" s="11"/>
      <c r="M301" s="11"/>
      <c r="N301" s="11"/>
      <c r="O301" s="11">
        <v>2010</v>
      </c>
      <c r="P301" s="11">
        <v>15</v>
      </c>
      <c r="Q301" s="11"/>
      <c r="R301" s="11">
        <v>40</v>
      </c>
      <c r="S301" s="11"/>
      <c r="T301" s="11"/>
      <c r="U301" s="11"/>
      <c r="V301" s="11"/>
      <c r="W301" s="11"/>
      <c r="X301" s="11"/>
      <c r="Y301" s="11">
        <v>165</v>
      </c>
      <c r="Z301" s="11"/>
      <c r="AA301" s="11"/>
      <c r="AB301" s="11"/>
      <c r="AC301" s="11">
        <v>2230</v>
      </c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>
        <v>1550</v>
      </c>
      <c r="AO301" s="11">
        <v>680</v>
      </c>
      <c r="AP301" s="11"/>
      <c r="AQ301" s="11"/>
      <c r="AR301" s="11"/>
      <c r="AS301" s="11"/>
      <c r="AT301" s="20" t="str">
        <f>HYPERLINK("http://www.openstreetmap.org/?mlat=34.2771&amp;mlon=45.1668&amp;zoom=12#map=12/34.2771/45.1668","Maplink1")</f>
        <v>Maplink1</v>
      </c>
      <c r="AU301" s="20" t="str">
        <f>HYPERLINK("https://www.google.iq/maps/search/+34.2771,45.1668/@34.2771,45.1668,14z?hl=en","Maplink2")</f>
        <v>Maplink2</v>
      </c>
      <c r="AV301" s="20" t="str">
        <f>HYPERLINK("http://www.bing.com/maps/?lvl=14&amp;sty=h&amp;cp=34.2771~45.1668&amp;sp=point.34.2771_45.1668","Maplink3")</f>
        <v>Maplink3</v>
      </c>
    </row>
    <row r="302" spans="1:48" x14ac:dyDescent="0.25">
      <c r="A302" s="9">
        <v>29477</v>
      </c>
      <c r="B302" s="10" t="s">
        <v>13</v>
      </c>
      <c r="C302" s="10" t="s">
        <v>595</v>
      </c>
      <c r="D302" s="10" t="s">
        <v>606</v>
      </c>
      <c r="E302" s="10" t="s">
        <v>546</v>
      </c>
      <c r="F302" s="10">
        <v>34.271358909999996</v>
      </c>
      <c r="G302" s="10">
        <v>45.164609429999999</v>
      </c>
      <c r="H302" s="11">
        <v>1550</v>
      </c>
      <c r="I302" s="11">
        <v>9300</v>
      </c>
      <c r="J302" s="11"/>
      <c r="K302" s="11"/>
      <c r="L302" s="11"/>
      <c r="M302" s="11"/>
      <c r="N302" s="11"/>
      <c r="O302" s="11">
        <v>1530</v>
      </c>
      <c r="P302" s="11"/>
      <c r="Q302" s="11">
        <v>10</v>
      </c>
      <c r="R302" s="11"/>
      <c r="S302" s="11"/>
      <c r="T302" s="11"/>
      <c r="U302" s="11"/>
      <c r="V302" s="11"/>
      <c r="W302" s="11"/>
      <c r="X302" s="11"/>
      <c r="Y302" s="11">
        <v>10</v>
      </c>
      <c r="Z302" s="11"/>
      <c r="AA302" s="11"/>
      <c r="AB302" s="11"/>
      <c r="AC302" s="11">
        <v>1550</v>
      </c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>
        <v>1450</v>
      </c>
      <c r="AO302" s="11">
        <v>100</v>
      </c>
      <c r="AP302" s="11"/>
      <c r="AQ302" s="11"/>
      <c r="AR302" s="11"/>
      <c r="AS302" s="11"/>
      <c r="AT302" s="20" t="str">
        <f>HYPERLINK("http://www.openstreetmap.org/?mlat=34.2714&amp;mlon=45.1646&amp;zoom=12#map=12/34.2714/45.1646","Maplink1")</f>
        <v>Maplink1</v>
      </c>
      <c r="AU302" s="20" t="str">
        <f>HYPERLINK("https://www.google.iq/maps/search/+34.2714,45.1646/@34.2714,45.1646,14z?hl=en","Maplink2")</f>
        <v>Maplink2</v>
      </c>
      <c r="AV302" s="20" t="str">
        <f>HYPERLINK("http://www.bing.com/maps/?lvl=14&amp;sty=h&amp;cp=34.2714~45.1646&amp;sp=point.34.2714_45.1646","Maplink3")</f>
        <v>Maplink3</v>
      </c>
    </row>
    <row r="303" spans="1:48" x14ac:dyDescent="0.25">
      <c r="A303" s="9">
        <v>25983</v>
      </c>
      <c r="B303" s="10" t="s">
        <v>13</v>
      </c>
      <c r="C303" s="10" t="s">
        <v>595</v>
      </c>
      <c r="D303" s="10" t="s">
        <v>607</v>
      </c>
      <c r="E303" s="10" t="s">
        <v>608</v>
      </c>
      <c r="F303" s="10">
        <v>34.351071661100001</v>
      </c>
      <c r="G303" s="10">
        <v>45.415322805800002</v>
      </c>
      <c r="H303" s="11">
        <v>208</v>
      </c>
      <c r="I303" s="11">
        <v>1248</v>
      </c>
      <c r="J303" s="11"/>
      <c r="K303" s="11"/>
      <c r="L303" s="11"/>
      <c r="M303" s="11"/>
      <c r="N303" s="11"/>
      <c r="O303" s="11">
        <v>200</v>
      </c>
      <c r="P303" s="11"/>
      <c r="Q303" s="11"/>
      <c r="R303" s="11">
        <v>8</v>
      </c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>
        <v>208</v>
      </c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>
        <v>208</v>
      </c>
      <c r="AO303" s="11"/>
      <c r="AP303" s="11"/>
      <c r="AQ303" s="11"/>
      <c r="AR303" s="11"/>
      <c r="AS303" s="11"/>
      <c r="AT303" s="20" t="str">
        <f>HYPERLINK("http://www.openstreetmap.org/?mlat=34.3511&amp;mlon=45.4153&amp;zoom=12#map=12/34.3511/45.4153","Maplink1")</f>
        <v>Maplink1</v>
      </c>
      <c r="AU303" s="20" t="str">
        <f>HYPERLINK("https://www.google.iq/maps/search/+34.3511,45.4153/@34.3511,45.4153,14z?hl=en","Maplink2")</f>
        <v>Maplink2</v>
      </c>
      <c r="AV303" s="20" t="str">
        <f>HYPERLINK("http://www.bing.com/maps/?lvl=14&amp;sty=h&amp;cp=34.3511~45.4153&amp;sp=point.34.3511_45.4153","Maplink3")</f>
        <v>Maplink3</v>
      </c>
    </row>
    <row r="304" spans="1:48" x14ac:dyDescent="0.25">
      <c r="A304" s="9">
        <v>29507</v>
      </c>
      <c r="B304" s="10" t="s">
        <v>13</v>
      </c>
      <c r="C304" s="10" t="s">
        <v>595</v>
      </c>
      <c r="D304" s="10" t="s">
        <v>609</v>
      </c>
      <c r="E304" s="10" t="s">
        <v>610</v>
      </c>
      <c r="F304" s="10">
        <v>34.350832323900001</v>
      </c>
      <c r="G304" s="10">
        <v>45.415382378799997</v>
      </c>
      <c r="H304" s="11">
        <v>215</v>
      </c>
      <c r="I304" s="11">
        <v>1290</v>
      </c>
      <c r="J304" s="11"/>
      <c r="K304" s="11"/>
      <c r="L304" s="11"/>
      <c r="M304" s="11"/>
      <c r="N304" s="11"/>
      <c r="O304" s="11">
        <v>180</v>
      </c>
      <c r="P304" s="11"/>
      <c r="Q304" s="11"/>
      <c r="R304" s="11">
        <v>10</v>
      </c>
      <c r="S304" s="11"/>
      <c r="T304" s="11"/>
      <c r="U304" s="11"/>
      <c r="V304" s="11"/>
      <c r="W304" s="11"/>
      <c r="X304" s="11"/>
      <c r="Y304" s="11">
        <v>25</v>
      </c>
      <c r="Z304" s="11"/>
      <c r="AA304" s="11"/>
      <c r="AB304" s="11"/>
      <c r="AC304" s="11">
        <v>215</v>
      </c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>
        <v>215</v>
      </c>
      <c r="AO304" s="11"/>
      <c r="AP304" s="11"/>
      <c r="AQ304" s="11"/>
      <c r="AR304" s="11"/>
      <c r="AS304" s="11"/>
      <c r="AT304" s="20" t="str">
        <f>HYPERLINK("http://www.openstreetmap.org/?mlat=34.3508&amp;mlon=45.4154&amp;zoom=12#map=12/34.3508/45.4154","Maplink1")</f>
        <v>Maplink1</v>
      </c>
      <c r="AU304" s="20" t="str">
        <f>HYPERLINK("https://www.google.iq/maps/search/+34.3508,45.4154/@34.3508,45.4154,14z?hl=en","Maplink2")</f>
        <v>Maplink2</v>
      </c>
      <c r="AV304" s="20" t="str">
        <f>HYPERLINK("http://www.bing.com/maps/?lvl=14&amp;sty=h&amp;cp=34.3508~45.4154&amp;sp=point.34.3508_45.4154","Maplink3")</f>
        <v>Maplink3</v>
      </c>
    </row>
    <row r="305" spans="1:48" x14ac:dyDescent="0.25">
      <c r="A305" s="9">
        <v>29506</v>
      </c>
      <c r="B305" s="10" t="s">
        <v>13</v>
      </c>
      <c r="C305" s="10" t="s">
        <v>595</v>
      </c>
      <c r="D305" s="10" t="s">
        <v>611</v>
      </c>
      <c r="E305" s="10" t="s">
        <v>612</v>
      </c>
      <c r="F305" s="10">
        <v>34.350848158799998</v>
      </c>
      <c r="G305" s="10">
        <v>45.415377527399997</v>
      </c>
      <c r="H305" s="11">
        <v>200</v>
      </c>
      <c r="I305" s="11">
        <v>1200</v>
      </c>
      <c r="J305" s="11"/>
      <c r="K305" s="11"/>
      <c r="L305" s="11"/>
      <c r="M305" s="11"/>
      <c r="N305" s="11"/>
      <c r="O305" s="11">
        <v>190</v>
      </c>
      <c r="P305" s="11"/>
      <c r="Q305" s="11"/>
      <c r="R305" s="11">
        <v>10</v>
      </c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>
        <v>200</v>
      </c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>
        <v>200</v>
      </c>
      <c r="AO305" s="11"/>
      <c r="AP305" s="11"/>
      <c r="AQ305" s="11"/>
      <c r="AR305" s="11"/>
      <c r="AS305" s="11"/>
      <c r="AT305" s="20" t="str">
        <f>HYPERLINK("http://www.openstreetmap.org/?mlat=34.3508&amp;mlon=45.4154&amp;zoom=12#map=12/34.3508/45.4154","Maplink1")</f>
        <v>Maplink1</v>
      </c>
      <c r="AU305" s="20" t="str">
        <f>HYPERLINK("https://www.google.iq/maps/search/+34.3508,45.4154/@34.3508,45.4154,14z?hl=en","Maplink2")</f>
        <v>Maplink2</v>
      </c>
      <c r="AV305" s="20" t="str">
        <f>HYPERLINK("http://www.bing.com/maps/?lvl=14&amp;sty=h&amp;cp=34.3508~45.4154&amp;sp=point.34.3508_45.4154","Maplink3")</f>
        <v>Maplink3</v>
      </c>
    </row>
    <row r="306" spans="1:48" x14ac:dyDescent="0.25">
      <c r="A306" s="9">
        <v>29521</v>
      </c>
      <c r="B306" s="10" t="s">
        <v>13</v>
      </c>
      <c r="C306" s="10" t="s">
        <v>595</v>
      </c>
      <c r="D306" s="10" t="s">
        <v>613</v>
      </c>
      <c r="E306" s="10" t="s">
        <v>614</v>
      </c>
      <c r="F306" s="10">
        <v>34.177523829999998</v>
      </c>
      <c r="G306" s="10">
        <v>45.121278340000003</v>
      </c>
      <c r="H306" s="11">
        <v>190</v>
      </c>
      <c r="I306" s="11">
        <v>1140</v>
      </c>
      <c r="J306" s="11"/>
      <c r="K306" s="11"/>
      <c r="L306" s="11"/>
      <c r="M306" s="11"/>
      <c r="N306" s="11"/>
      <c r="O306" s="11">
        <v>150</v>
      </c>
      <c r="P306" s="11">
        <v>15</v>
      </c>
      <c r="Q306" s="11"/>
      <c r="R306" s="11">
        <v>20</v>
      </c>
      <c r="S306" s="11"/>
      <c r="T306" s="11"/>
      <c r="U306" s="11"/>
      <c r="V306" s="11"/>
      <c r="W306" s="11"/>
      <c r="X306" s="11"/>
      <c r="Y306" s="11">
        <v>5</v>
      </c>
      <c r="Z306" s="11"/>
      <c r="AA306" s="11"/>
      <c r="AB306" s="11"/>
      <c r="AC306" s="11">
        <v>190</v>
      </c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>
        <v>190</v>
      </c>
      <c r="AO306" s="11"/>
      <c r="AP306" s="11"/>
      <c r="AQ306" s="11"/>
      <c r="AR306" s="11"/>
      <c r="AS306" s="11"/>
      <c r="AT306" s="20" t="str">
        <f>HYPERLINK("http://www.openstreetmap.org/?mlat=34.1775&amp;mlon=45.1213&amp;zoom=12#map=12/34.1775/45.1213","Maplink1")</f>
        <v>Maplink1</v>
      </c>
      <c r="AU306" s="20" t="str">
        <f>HYPERLINK("https://www.google.iq/maps/search/+34.1775,45.1213/@34.1775,45.1213,14z?hl=en","Maplink2")</f>
        <v>Maplink2</v>
      </c>
      <c r="AV306" s="20" t="str">
        <f>HYPERLINK("http://www.bing.com/maps/?lvl=14&amp;sty=h&amp;cp=34.1775~45.1213&amp;sp=point.34.1775_45.1213","Maplink3")</f>
        <v>Maplink3</v>
      </c>
    </row>
    <row r="307" spans="1:48" x14ac:dyDescent="0.25">
      <c r="A307" s="9">
        <v>27391</v>
      </c>
      <c r="B307" s="10" t="s">
        <v>13</v>
      </c>
      <c r="C307" s="10" t="s">
        <v>595</v>
      </c>
      <c r="D307" s="10" t="s">
        <v>615</v>
      </c>
      <c r="E307" s="10" t="s">
        <v>616</v>
      </c>
      <c r="F307" s="10">
        <v>34.182388590000002</v>
      </c>
      <c r="G307" s="10">
        <v>45.118946000000001</v>
      </c>
      <c r="H307" s="11">
        <v>383</v>
      </c>
      <c r="I307" s="11">
        <v>2298</v>
      </c>
      <c r="J307" s="11"/>
      <c r="K307" s="11"/>
      <c r="L307" s="11"/>
      <c r="M307" s="11"/>
      <c r="N307" s="11"/>
      <c r="O307" s="11">
        <v>316</v>
      </c>
      <c r="P307" s="11"/>
      <c r="Q307" s="11"/>
      <c r="R307" s="11">
        <v>7</v>
      </c>
      <c r="S307" s="11"/>
      <c r="T307" s="11"/>
      <c r="U307" s="11"/>
      <c r="V307" s="11"/>
      <c r="W307" s="11"/>
      <c r="X307" s="11"/>
      <c r="Y307" s="11">
        <v>60</v>
      </c>
      <c r="Z307" s="11"/>
      <c r="AA307" s="11"/>
      <c r="AB307" s="11"/>
      <c r="AC307" s="11">
        <v>377</v>
      </c>
      <c r="AD307" s="11"/>
      <c r="AE307" s="11"/>
      <c r="AF307" s="11"/>
      <c r="AG307" s="11"/>
      <c r="AH307" s="11"/>
      <c r="AI307" s="11">
        <v>6</v>
      </c>
      <c r="AJ307" s="11"/>
      <c r="AK307" s="11"/>
      <c r="AL307" s="11"/>
      <c r="AM307" s="11"/>
      <c r="AN307" s="11">
        <v>383</v>
      </c>
      <c r="AO307" s="11"/>
      <c r="AP307" s="11"/>
      <c r="AQ307" s="11"/>
      <c r="AR307" s="11"/>
      <c r="AS307" s="11"/>
      <c r="AT307" s="20" t="str">
        <f>HYPERLINK("http://www.openstreetmap.org/?mlat=34.1824&amp;mlon=45.1189&amp;zoom=12#map=12/34.1824/45.1189","Maplink1")</f>
        <v>Maplink1</v>
      </c>
      <c r="AU307" s="20" t="str">
        <f>HYPERLINK("https://www.google.iq/maps/search/+34.1824,45.1189/@34.1824,45.1189,14z?hl=en","Maplink2")</f>
        <v>Maplink2</v>
      </c>
      <c r="AV307" s="20" t="str">
        <f>HYPERLINK("http://www.bing.com/maps/?lvl=14&amp;sty=h&amp;cp=34.1824~45.1189&amp;sp=point.34.1824_45.1189","Maplink3")</f>
        <v>Maplink3</v>
      </c>
    </row>
    <row r="308" spans="1:48" x14ac:dyDescent="0.25">
      <c r="A308" s="9">
        <v>29570</v>
      </c>
      <c r="B308" s="10" t="s">
        <v>13</v>
      </c>
      <c r="C308" s="10" t="s">
        <v>595</v>
      </c>
      <c r="D308" s="10" t="s">
        <v>617</v>
      </c>
      <c r="E308" s="10" t="s">
        <v>232</v>
      </c>
      <c r="F308" s="10">
        <v>34.279488600000001</v>
      </c>
      <c r="G308" s="10">
        <v>45.167935139999997</v>
      </c>
      <c r="H308" s="11">
        <v>2160</v>
      </c>
      <c r="I308" s="11">
        <v>12960</v>
      </c>
      <c r="J308" s="11"/>
      <c r="K308" s="11"/>
      <c r="L308" s="11"/>
      <c r="M308" s="11"/>
      <c r="N308" s="11"/>
      <c r="O308" s="11">
        <v>2010</v>
      </c>
      <c r="P308" s="11">
        <v>5</v>
      </c>
      <c r="Q308" s="11"/>
      <c r="R308" s="11">
        <v>25</v>
      </c>
      <c r="S308" s="11"/>
      <c r="T308" s="11"/>
      <c r="U308" s="11"/>
      <c r="V308" s="11"/>
      <c r="W308" s="11"/>
      <c r="X308" s="11"/>
      <c r="Y308" s="11">
        <v>120</v>
      </c>
      <c r="Z308" s="11"/>
      <c r="AA308" s="11"/>
      <c r="AB308" s="11"/>
      <c r="AC308" s="11">
        <v>2160</v>
      </c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>
        <v>1660</v>
      </c>
      <c r="AO308" s="11">
        <v>500</v>
      </c>
      <c r="AP308" s="11"/>
      <c r="AQ308" s="11"/>
      <c r="AR308" s="11"/>
      <c r="AS308" s="11"/>
      <c r="AT308" s="20" t="str">
        <f>HYPERLINK("http://www.openstreetmap.org/?mlat=34.2795&amp;mlon=45.1679&amp;zoom=12#map=12/34.2795/45.1679","Maplink1")</f>
        <v>Maplink1</v>
      </c>
      <c r="AU308" s="20" t="str">
        <f>HYPERLINK("https://www.google.iq/maps/search/+34.2795,45.1679/@34.2795,45.1679,14z?hl=en","Maplink2")</f>
        <v>Maplink2</v>
      </c>
      <c r="AV308" s="20" t="str">
        <f>HYPERLINK("http://www.bing.com/maps/?lvl=14&amp;sty=h&amp;cp=34.2795~45.1679&amp;sp=point.34.2795_45.1679","Maplink3")</f>
        <v>Maplink3</v>
      </c>
    </row>
    <row r="309" spans="1:48" x14ac:dyDescent="0.25">
      <c r="A309" s="9">
        <v>29519</v>
      </c>
      <c r="B309" s="10" t="s">
        <v>13</v>
      </c>
      <c r="C309" s="10" t="s">
        <v>595</v>
      </c>
      <c r="D309" s="10" t="s">
        <v>618</v>
      </c>
      <c r="E309" s="10" t="s">
        <v>619</v>
      </c>
      <c r="F309" s="10">
        <v>34.198936400000001</v>
      </c>
      <c r="G309" s="10">
        <v>45.130894380000001</v>
      </c>
      <c r="H309" s="11">
        <v>60</v>
      </c>
      <c r="I309" s="11">
        <v>360</v>
      </c>
      <c r="J309" s="11"/>
      <c r="K309" s="11"/>
      <c r="L309" s="11"/>
      <c r="M309" s="11"/>
      <c r="N309" s="11"/>
      <c r="O309" s="11">
        <v>60</v>
      </c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>
        <v>60</v>
      </c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>
        <v>60</v>
      </c>
      <c r="AO309" s="11"/>
      <c r="AP309" s="11"/>
      <c r="AQ309" s="11"/>
      <c r="AR309" s="11"/>
      <c r="AS309" s="11"/>
      <c r="AT309" s="20" t="str">
        <f>HYPERLINK("http://www.openstreetmap.org/?mlat=34.1989&amp;mlon=45.1309&amp;zoom=12#map=12/34.1989/45.1309","Maplink1")</f>
        <v>Maplink1</v>
      </c>
      <c r="AU309" s="20" t="str">
        <f>HYPERLINK("https://www.google.iq/maps/search/+34.1989,45.1309/@34.1989,45.1309,14z?hl=en","Maplink2")</f>
        <v>Maplink2</v>
      </c>
      <c r="AV309" s="20" t="str">
        <f>HYPERLINK("http://www.bing.com/maps/?lvl=14&amp;sty=h&amp;cp=34.1989~45.1309&amp;sp=point.34.1989_45.1309","Maplink3")</f>
        <v>Maplink3</v>
      </c>
    </row>
    <row r="310" spans="1:48" x14ac:dyDescent="0.25">
      <c r="A310" s="9">
        <v>29564</v>
      </c>
      <c r="B310" s="10" t="s">
        <v>13</v>
      </c>
      <c r="C310" s="10" t="s">
        <v>595</v>
      </c>
      <c r="D310" s="10" t="s">
        <v>620</v>
      </c>
      <c r="E310" s="10" t="s">
        <v>621</v>
      </c>
      <c r="F310" s="10">
        <v>34.27881447</v>
      </c>
      <c r="G310" s="10">
        <v>45.162148629999997</v>
      </c>
      <c r="H310" s="11">
        <v>331</v>
      </c>
      <c r="I310" s="11">
        <v>1986</v>
      </c>
      <c r="J310" s="11"/>
      <c r="K310" s="11"/>
      <c r="L310" s="11"/>
      <c r="M310" s="11"/>
      <c r="N310" s="11"/>
      <c r="O310" s="11">
        <v>300</v>
      </c>
      <c r="P310" s="11"/>
      <c r="Q310" s="11"/>
      <c r="R310" s="11">
        <v>25</v>
      </c>
      <c r="S310" s="11"/>
      <c r="T310" s="11"/>
      <c r="U310" s="11"/>
      <c r="V310" s="11"/>
      <c r="W310" s="11"/>
      <c r="X310" s="11"/>
      <c r="Y310" s="11">
        <v>6</v>
      </c>
      <c r="Z310" s="11"/>
      <c r="AA310" s="11"/>
      <c r="AB310" s="11"/>
      <c r="AC310" s="11">
        <v>331</v>
      </c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>
        <v>331</v>
      </c>
      <c r="AO310" s="11"/>
      <c r="AP310" s="11"/>
      <c r="AQ310" s="11"/>
      <c r="AR310" s="11"/>
      <c r="AS310" s="11"/>
      <c r="AT310" s="20" t="str">
        <f>HYPERLINK("http://www.openstreetmap.org/?mlat=34.2788&amp;mlon=45.1621&amp;zoom=12#map=12/34.2788/45.1621","Maplink1")</f>
        <v>Maplink1</v>
      </c>
      <c r="AU310" s="20" t="str">
        <f>HYPERLINK("https://www.google.iq/maps/search/+34.2788,45.1621/@34.2788,45.1621,14z?hl=en","Maplink2")</f>
        <v>Maplink2</v>
      </c>
      <c r="AV310" s="20" t="str">
        <f>HYPERLINK("http://www.bing.com/maps/?lvl=14&amp;sty=h&amp;cp=34.2788~45.1621&amp;sp=point.34.2788_45.1621","Maplink3")</f>
        <v>Maplink3</v>
      </c>
    </row>
    <row r="311" spans="1:48" x14ac:dyDescent="0.25">
      <c r="A311" s="9">
        <v>27389</v>
      </c>
      <c r="B311" s="10" t="s">
        <v>13</v>
      </c>
      <c r="C311" s="10" t="s">
        <v>595</v>
      </c>
      <c r="D311" s="10" t="s">
        <v>622</v>
      </c>
      <c r="E311" s="10" t="s">
        <v>623</v>
      </c>
      <c r="F311" s="10">
        <v>34.276698879999998</v>
      </c>
      <c r="G311" s="10">
        <v>45.162752349999998</v>
      </c>
      <c r="H311" s="11">
        <v>1800</v>
      </c>
      <c r="I311" s="11">
        <v>10800</v>
      </c>
      <c r="J311" s="11"/>
      <c r="K311" s="11"/>
      <c r="L311" s="11"/>
      <c r="M311" s="11"/>
      <c r="N311" s="11"/>
      <c r="O311" s="11">
        <v>1650</v>
      </c>
      <c r="P311" s="11"/>
      <c r="Q311" s="11"/>
      <c r="R311" s="11">
        <v>50</v>
      </c>
      <c r="S311" s="11"/>
      <c r="T311" s="11"/>
      <c r="U311" s="11"/>
      <c r="V311" s="11"/>
      <c r="W311" s="11"/>
      <c r="X311" s="11"/>
      <c r="Y311" s="11">
        <v>100</v>
      </c>
      <c r="Z311" s="11"/>
      <c r="AA311" s="11"/>
      <c r="AB311" s="11"/>
      <c r="AC311" s="11">
        <v>1537</v>
      </c>
      <c r="AD311" s="11">
        <v>30</v>
      </c>
      <c r="AE311" s="11"/>
      <c r="AF311" s="11"/>
      <c r="AG311" s="11"/>
      <c r="AH311" s="11"/>
      <c r="AI311" s="11"/>
      <c r="AJ311" s="11"/>
      <c r="AK311" s="11">
        <v>233</v>
      </c>
      <c r="AL311" s="11"/>
      <c r="AM311" s="11"/>
      <c r="AN311" s="11">
        <v>1800</v>
      </c>
      <c r="AO311" s="11"/>
      <c r="AP311" s="11"/>
      <c r="AQ311" s="11"/>
      <c r="AR311" s="11"/>
      <c r="AS311" s="11"/>
      <c r="AT311" s="20" t="str">
        <f>HYPERLINK("http://www.openstreetmap.org/?mlat=34.2767&amp;mlon=45.1628&amp;zoom=12#map=12/34.2767/45.1628","Maplink1")</f>
        <v>Maplink1</v>
      </c>
      <c r="AU311" s="20" t="str">
        <f>HYPERLINK("https://www.google.iq/maps/search/+34.2767,45.1628/@34.2767,45.1628,14z?hl=en","Maplink2")</f>
        <v>Maplink2</v>
      </c>
      <c r="AV311" s="20" t="str">
        <f>HYPERLINK("http://www.bing.com/maps/?lvl=14&amp;sty=h&amp;cp=34.2767~45.1628&amp;sp=point.34.2767_45.1628","Maplink3")</f>
        <v>Maplink3</v>
      </c>
    </row>
    <row r="312" spans="1:48" x14ac:dyDescent="0.25">
      <c r="A312" s="9">
        <v>29675</v>
      </c>
      <c r="B312" s="10" t="s">
        <v>13</v>
      </c>
      <c r="C312" s="10" t="s">
        <v>595</v>
      </c>
      <c r="D312" s="10" t="s">
        <v>624</v>
      </c>
      <c r="E312" s="10" t="s">
        <v>106</v>
      </c>
      <c r="F312" s="10">
        <v>34.286650000000002</v>
      </c>
      <c r="G312" s="10">
        <v>45.16093</v>
      </c>
      <c r="H312" s="11">
        <v>1200</v>
      </c>
      <c r="I312" s="11">
        <v>7200</v>
      </c>
      <c r="J312" s="11"/>
      <c r="K312" s="11"/>
      <c r="L312" s="11">
        <v>60</v>
      </c>
      <c r="M312" s="11"/>
      <c r="N312" s="11"/>
      <c r="O312" s="11">
        <v>1090</v>
      </c>
      <c r="P312" s="11">
        <v>20</v>
      </c>
      <c r="Q312" s="11"/>
      <c r="R312" s="11"/>
      <c r="S312" s="11"/>
      <c r="T312" s="11"/>
      <c r="U312" s="11"/>
      <c r="V312" s="11"/>
      <c r="W312" s="11"/>
      <c r="X312" s="11"/>
      <c r="Y312" s="11">
        <v>30</v>
      </c>
      <c r="Z312" s="11"/>
      <c r="AA312" s="11"/>
      <c r="AB312" s="11"/>
      <c r="AC312" s="11">
        <v>1200</v>
      </c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>
        <v>1200</v>
      </c>
      <c r="AO312" s="11"/>
      <c r="AP312" s="11"/>
      <c r="AQ312" s="11"/>
      <c r="AR312" s="11"/>
      <c r="AS312" s="11"/>
      <c r="AT312" s="20" t="str">
        <f>HYPERLINK("http://www.openstreetmap.org/?mlat=34.2867&amp;mlon=45.1609&amp;zoom=12#map=12/34.2867/45.1609","Maplink1")</f>
        <v>Maplink1</v>
      </c>
      <c r="AU312" s="20" t="str">
        <f>HYPERLINK("https://www.google.iq/maps/search/+34.2867,45.1609/@34.2867,45.1609,14z?hl=en","Maplink2")</f>
        <v>Maplink2</v>
      </c>
      <c r="AV312" s="20" t="str">
        <f>HYPERLINK("http://www.bing.com/maps/?lvl=14&amp;sty=h&amp;cp=34.2867~45.1609&amp;sp=point.34.2867_45.1609","Maplink3")</f>
        <v>Maplink3</v>
      </c>
    </row>
    <row r="313" spans="1:48" x14ac:dyDescent="0.25">
      <c r="A313" s="9">
        <v>29587</v>
      </c>
      <c r="B313" s="10" t="s">
        <v>13</v>
      </c>
      <c r="C313" s="10" t="s">
        <v>595</v>
      </c>
      <c r="D313" s="10" t="s">
        <v>625</v>
      </c>
      <c r="E313" s="10" t="s">
        <v>626</v>
      </c>
      <c r="F313" s="10">
        <v>34.172876000000002</v>
      </c>
      <c r="G313" s="10">
        <v>45.135468000000003</v>
      </c>
      <c r="H313" s="11">
        <v>50</v>
      </c>
      <c r="I313" s="11">
        <v>300</v>
      </c>
      <c r="J313" s="11"/>
      <c r="K313" s="11"/>
      <c r="L313" s="11"/>
      <c r="M313" s="11"/>
      <c r="N313" s="11"/>
      <c r="O313" s="11">
        <v>35</v>
      </c>
      <c r="P313" s="11">
        <v>2</v>
      </c>
      <c r="Q313" s="11"/>
      <c r="R313" s="11">
        <v>6</v>
      </c>
      <c r="S313" s="11"/>
      <c r="T313" s="11"/>
      <c r="U313" s="11"/>
      <c r="V313" s="11"/>
      <c r="W313" s="11"/>
      <c r="X313" s="11"/>
      <c r="Y313" s="11">
        <v>7</v>
      </c>
      <c r="Z313" s="11"/>
      <c r="AA313" s="11"/>
      <c r="AB313" s="11"/>
      <c r="AC313" s="11">
        <v>50</v>
      </c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>
        <v>50</v>
      </c>
      <c r="AO313" s="11"/>
      <c r="AP313" s="11"/>
      <c r="AQ313" s="11"/>
      <c r="AR313" s="11"/>
      <c r="AS313" s="11"/>
      <c r="AT313" s="20" t="str">
        <f>HYPERLINK("http://www.openstreetmap.org/?mlat=34.1729&amp;mlon=45.1355&amp;zoom=12#map=12/34.1729/45.1355","Maplink1")</f>
        <v>Maplink1</v>
      </c>
      <c r="AU313" s="20" t="str">
        <f>HYPERLINK("https://www.google.iq/maps/search/+34.1729,45.1355/@34.1729,45.1355,14z?hl=en","Maplink2")</f>
        <v>Maplink2</v>
      </c>
      <c r="AV313" s="20" t="str">
        <f>HYPERLINK("http://www.bing.com/maps/?lvl=14&amp;sty=h&amp;cp=34.1729~45.1355&amp;sp=point.34.1729_45.1355","Maplink3")</f>
        <v>Maplink3</v>
      </c>
    </row>
    <row r="314" spans="1:48" x14ac:dyDescent="0.25">
      <c r="A314" s="9">
        <v>28460</v>
      </c>
      <c r="B314" s="10" t="s">
        <v>13</v>
      </c>
      <c r="C314" s="10" t="s">
        <v>595</v>
      </c>
      <c r="D314" s="10" t="s">
        <v>627</v>
      </c>
      <c r="E314" s="10" t="s">
        <v>626</v>
      </c>
      <c r="F314" s="10">
        <v>34.288499219999999</v>
      </c>
      <c r="G314" s="10">
        <v>45.160837190000002</v>
      </c>
      <c r="H314" s="11">
        <v>1462</v>
      </c>
      <c r="I314" s="11">
        <v>8772</v>
      </c>
      <c r="J314" s="11"/>
      <c r="K314" s="11"/>
      <c r="L314" s="11"/>
      <c r="M314" s="11"/>
      <c r="N314" s="11"/>
      <c r="O314" s="11">
        <v>1384</v>
      </c>
      <c r="P314" s="11">
        <v>9</v>
      </c>
      <c r="Q314" s="11"/>
      <c r="R314" s="11">
        <v>42</v>
      </c>
      <c r="S314" s="11"/>
      <c r="T314" s="11"/>
      <c r="U314" s="11"/>
      <c r="V314" s="11"/>
      <c r="W314" s="11"/>
      <c r="X314" s="11"/>
      <c r="Y314" s="11">
        <v>27</v>
      </c>
      <c r="Z314" s="11"/>
      <c r="AA314" s="11"/>
      <c r="AB314" s="11"/>
      <c r="AC314" s="11">
        <v>1362</v>
      </c>
      <c r="AD314" s="11">
        <v>25</v>
      </c>
      <c r="AE314" s="11"/>
      <c r="AF314" s="11"/>
      <c r="AG314" s="11"/>
      <c r="AH314" s="11"/>
      <c r="AI314" s="11">
        <v>25</v>
      </c>
      <c r="AJ314" s="11"/>
      <c r="AK314" s="11">
        <v>50</v>
      </c>
      <c r="AL314" s="11"/>
      <c r="AM314" s="11"/>
      <c r="AN314" s="11">
        <v>1399</v>
      </c>
      <c r="AO314" s="11">
        <v>63</v>
      </c>
      <c r="AP314" s="11"/>
      <c r="AQ314" s="11"/>
      <c r="AR314" s="11"/>
      <c r="AS314" s="11"/>
      <c r="AT314" s="20" t="str">
        <f>HYPERLINK("http://www.openstreetmap.org/?mlat=34.2885&amp;mlon=45.1608&amp;zoom=12#map=12/34.2885/45.1608","Maplink1")</f>
        <v>Maplink1</v>
      </c>
      <c r="AU314" s="20" t="str">
        <f>HYPERLINK("https://www.google.iq/maps/search/+34.2885,45.1608/@34.2885,45.1608,14z?hl=en","Maplink2")</f>
        <v>Maplink2</v>
      </c>
      <c r="AV314" s="20" t="str">
        <f>HYPERLINK("http://www.bing.com/maps/?lvl=14&amp;sty=h&amp;cp=34.2885~45.1608&amp;sp=point.34.2885_45.1608","Maplink3")</f>
        <v>Maplink3</v>
      </c>
    </row>
    <row r="315" spans="1:48" x14ac:dyDescent="0.25">
      <c r="A315" s="9">
        <v>29629</v>
      </c>
      <c r="B315" s="10" t="s">
        <v>13</v>
      </c>
      <c r="C315" s="10" t="s">
        <v>595</v>
      </c>
      <c r="D315" s="10" t="s">
        <v>628</v>
      </c>
      <c r="E315" s="10" t="s">
        <v>629</v>
      </c>
      <c r="F315" s="10">
        <v>34.254620000000003</v>
      </c>
      <c r="G315" s="10">
        <v>45.178559999999997</v>
      </c>
      <c r="H315" s="11">
        <v>220</v>
      </c>
      <c r="I315" s="11">
        <v>1320</v>
      </c>
      <c r="J315" s="11"/>
      <c r="K315" s="11"/>
      <c r="L315" s="11"/>
      <c r="M315" s="11"/>
      <c r="N315" s="11"/>
      <c r="O315" s="11">
        <v>220</v>
      </c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>
        <v>220</v>
      </c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>
        <v>220</v>
      </c>
      <c r="AO315" s="11"/>
      <c r="AP315" s="11"/>
      <c r="AQ315" s="11"/>
      <c r="AR315" s="11"/>
      <c r="AS315" s="11"/>
      <c r="AT315" s="20" t="str">
        <f>HYPERLINK("http://www.openstreetmap.org/?mlat=34.2546&amp;mlon=45.1786&amp;zoom=12#map=12/34.2546/45.1786","Maplink1")</f>
        <v>Maplink1</v>
      </c>
      <c r="AU315" s="20" t="str">
        <f>HYPERLINK("https://www.google.iq/maps/search/+34.2546,45.1786/@34.2546,45.1786,14z?hl=en","Maplink2")</f>
        <v>Maplink2</v>
      </c>
      <c r="AV315" s="20" t="str">
        <f>HYPERLINK("http://www.bing.com/maps/?lvl=14&amp;sty=h&amp;cp=34.2546~45.1786&amp;sp=point.34.2546_45.1786","Maplink3")</f>
        <v>Maplink3</v>
      </c>
    </row>
    <row r="316" spans="1:48" x14ac:dyDescent="0.25">
      <c r="A316" s="9">
        <v>29630</v>
      </c>
      <c r="B316" s="10" t="s">
        <v>13</v>
      </c>
      <c r="C316" s="10" t="s">
        <v>595</v>
      </c>
      <c r="D316" s="10" t="s">
        <v>630</v>
      </c>
      <c r="E316" s="10" t="s">
        <v>631</v>
      </c>
      <c r="F316" s="10">
        <v>34.224649999999997</v>
      </c>
      <c r="G316" s="10">
        <v>45.130890000000001</v>
      </c>
      <c r="H316" s="11">
        <v>326</v>
      </c>
      <c r="I316" s="11">
        <v>1956</v>
      </c>
      <c r="J316" s="11"/>
      <c r="K316" s="11"/>
      <c r="L316" s="11"/>
      <c r="M316" s="11"/>
      <c r="N316" s="11"/>
      <c r="O316" s="11">
        <v>300</v>
      </c>
      <c r="P316" s="11"/>
      <c r="Q316" s="11"/>
      <c r="R316" s="11"/>
      <c r="S316" s="11"/>
      <c r="T316" s="11"/>
      <c r="U316" s="11"/>
      <c r="V316" s="11"/>
      <c r="W316" s="11"/>
      <c r="X316" s="11"/>
      <c r="Y316" s="11">
        <v>26</v>
      </c>
      <c r="Z316" s="11"/>
      <c r="AA316" s="11"/>
      <c r="AB316" s="11"/>
      <c r="AC316" s="11">
        <v>326</v>
      </c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>
        <v>326</v>
      </c>
      <c r="AO316" s="11"/>
      <c r="AP316" s="11"/>
      <c r="AQ316" s="11"/>
      <c r="AR316" s="11"/>
      <c r="AS316" s="11"/>
      <c r="AT316" s="20" t="str">
        <f>HYPERLINK("http://www.openstreetmap.org/?mlat=34.2246&amp;mlon=45.1309&amp;zoom=12#map=12/34.2246/45.1309","Maplink1")</f>
        <v>Maplink1</v>
      </c>
      <c r="AU316" s="20" t="str">
        <f>HYPERLINK("https://www.google.iq/maps/search/+34.2246,45.1309/@34.2246,45.1309,14z?hl=en","Maplink2")</f>
        <v>Maplink2</v>
      </c>
      <c r="AV316" s="20" t="str">
        <f>HYPERLINK("http://www.bing.com/maps/?lvl=14&amp;sty=h&amp;cp=34.2246~45.1309&amp;sp=point.34.2246_45.1309","Maplink3")</f>
        <v>Maplink3</v>
      </c>
    </row>
    <row r="317" spans="1:48" x14ac:dyDescent="0.25">
      <c r="A317" s="9">
        <v>29520</v>
      </c>
      <c r="B317" s="10" t="s">
        <v>13</v>
      </c>
      <c r="C317" s="10" t="s">
        <v>595</v>
      </c>
      <c r="D317" s="10" t="s">
        <v>632</v>
      </c>
      <c r="E317" s="10" t="s">
        <v>633</v>
      </c>
      <c r="F317" s="10">
        <v>34.189599370000003</v>
      </c>
      <c r="G317" s="10">
        <v>45.116669379999998</v>
      </c>
      <c r="H317" s="11">
        <v>70</v>
      </c>
      <c r="I317" s="11">
        <v>420</v>
      </c>
      <c r="J317" s="11"/>
      <c r="K317" s="11"/>
      <c r="L317" s="11"/>
      <c r="M317" s="11"/>
      <c r="N317" s="11"/>
      <c r="O317" s="11">
        <v>65</v>
      </c>
      <c r="P317" s="11"/>
      <c r="Q317" s="11"/>
      <c r="R317" s="11">
        <v>5</v>
      </c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>
        <v>70</v>
      </c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>
        <v>70</v>
      </c>
      <c r="AO317" s="11"/>
      <c r="AP317" s="11"/>
      <c r="AQ317" s="11"/>
      <c r="AR317" s="11"/>
      <c r="AS317" s="11"/>
      <c r="AT317" s="20" t="str">
        <f>HYPERLINK("http://www.openstreetmap.org/?mlat=34.1896&amp;mlon=45.1167&amp;zoom=12#map=12/34.1896/45.1167","Maplink1")</f>
        <v>Maplink1</v>
      </c>
      <c r="AU317" s="20" t="str">
        <f>HYPERLINK("https://www.google.iq/maps/search/+34.1896,45.1167/@34.1896,45.1167,14z?hl=en","Maplink2")</f>
        <v>Maplink2</v>
      </c>
      <c r="AV317" s="20" t="str">
        <f>HYPERLINK("http://www.bing.com/maps/?lvl=14&amp;sty=h&amp;cp=34.1896~45.1167&amp;sp=point.34.1896_45.1167","Maplink3")</f>
        <v>Maplink3</v>
      </c>
    </row>
    <row r="318" spans="1:48" x14ac:dyDescent="0.25">
      <c r="A318" s="9">
        <v>10747</v>
      </c>
      <c r="B318" s="10" t="s">
        <v>13</v>
      </c>
      <c r="C318" s="10" t="s">
        <v>595</v>
      </c>
      <c r="D318" s="10" t="s">
        <v>634</v>
      </c>
      <c r="E318" s="10" t="s">
        <v>635</v>
      </c>
      <c r="F318" s="10">
        <v>34.283149999999999</v>
      </c>
      <c r="G318" s="10">
        <v>45.172660999999998</v>
      </c>
      <c r="H318" s="11">
        <v>45</v>
      </c>
      <c r="I318" s="11">
        <v>270</v>
      </c>
      <c r="J318" s="11"/>
      <c r="K318" s="11"/>
      <c r="L318" s="11"/>
      <c r="M318" s="11"/>
      <c r="N318" s="11"/>
      <c r="O318" s="11">
        <v>45</v>
      </c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>
        <v>40</v>
      </c>
      <c r="AD318" s="11">
        <v>5</v>
      </c>
      <c r="AE318" s="11"/>
      <c r="AF318" s="11"/>
      <c r="AG318" s="11"/>
      <c r="AH318" s="11"/>
      <c r="AI318" s="11"/>
      <c r="AJ318" s="11"/>
      <c r="AK318" s="11"/>
      <c r="AL318" s="11"/>
      <c r="AM318" s="11"/>
      <c r="AN318" s="11">
        <v>45</v>
      </c>
      <c r="AO318" s="11"/>
      <c r="AP318" s="11"/>
      <c r="AQ318" s="11"/>
      <c r="AR318" s="11"/>
      <c r="AS318" s="11"/>
      <c r="AT318" s="20" t="str">
        <f>HYPERLINK("http://www.openstreetmap.org/?mlat=34.2831&amp;mlon=45.1727&amp;zoom=12#map=12/34.2831/45.1727","Maplink1")</f>
        <v>Maplink1</v>
      </c>
      <c r="AU318" s="20" t="str">
        <f>HYPERLINK("https://www.google.iq/maps/search/+34.2831,45.1727/@34.2831,45.1727,14z?hl=en","Maplink2")</f>
        <v>Maplink2</v>
      </c>
      <c r="AV318" s="20" t="str">
        <f>HYPERLINK("http://www.bing.com/maps/?lvl=14&amp;sty=h&amp;cp=34.2831~45.1727&amp;sp=point.34.2831_45.1727","Maplink3")</f>
        <v>Maplink3</v>
      </c>
    </row>
    <row r="319" spans="1:48" x14ac:dyDescent="0.25">
      <c r="A319" s="9">
        <v>27390</v>
      </c>
      <c r="B319" s="10" t="s">
        <v>13</v>
      </c>
      <c r="C319" s="10" t="s">
        <v>595</v>
      </c>
      <c r="D319" s="10" t="s">
        <v>636</v>
      </c>
      <c r="E319" s="10" t="s">
        <v>637</v>
      </c>
      <c r="F319" s="10">
        <v>34.28201687</v>
      </c>
      <c r="G319" s="10">
        <v>45.168281989999997</v>
      </c>
      <c r="H319" s="11">
        <v>40</v>
      </c>
      <c r="I319" s="11">
        <v>240</v>
      </c>
      <c r="J319" s="11"/>
      <c r="K319" s="11"/>
      <c r="L319" s="11"/>
      <c r="M319" s="11"/>
      <c r="N319" s="11"/>
      <c r="O319" s="11">
        <v>40</v>
      </c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>
        <v>40</v>
      </c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>
        <v>40</v>
      </c>
      <c r="AO319" s="11"/>
      <c r="AP319" s="11"/>
      <c r="AQ319" s="11"/>
      <c r="AR319" s="11"/>
      <c r="AS319" s="11"/>
      <c r="AT319" s="20" t="str">
        <f>HYPERLINK("http://www.openstreetmap.org/?mlat=34.282&amp;mlon=45.1683&amp;zoom=12#map=12/34.282/45.1683","Maplink1")</f>
        <v>Maplink1</v>
      </c>
      <c r="AU319" s="20" t="str">
        <f>HYPERLINK("https://www.google.iq/maps/search/+34.282,45.1683/@34.282,45.1683,14z?hl=en","Maplink2")</f>
        <v>Maplink2</v>
      </c>
      <c r="AV319" s="20" t="str">
        <f>HYPERLINK("http://www.bing.com/maps/?lvl=14&amp;sty=h&amp;cp=34.282~45.1683&amp;sp=point.34.282_45.1683","Maplink3")</f>
        <v>Maplink3</v>
      </c>
    </row>
    <row r="320" spans="1:48" x14ac:dyDescent="0.25">
      <c r="A320" s="9">
        <v>25703</v>
      </c>
      <c r="B320" s="10" t="s">
        <v>13</v>
      </c>
      <c r="C320" s="10" t="s">
        <v>638</v>
      </c>
      <c r="D320" s="10" t="s">
        <v>639</v>
      </c>
      <c r="E320" s="10" t="s">
        <v>640</v>
      </c>
      <c r="F320" s="10">
        <v>34.418887470000001</v>
      </c>
      <c r="G320" s="10">
        <v>44.940770360000002</v>
      </c>
      <c r="H320" s="11">
        <v>200</v>
      </c>
      <c r="I320" s="11">
        <v>1200</v>
      </c>
      <c r="J320" s="11"/>
      <c r="K320" s="11"/>
      <c r="L320" s="11"/>
      <c r="M320" s="11"/>
      <c r="N320" s="11"/>
      <c r="O320" s="11">
        <v>200</v>
      </c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>
        <v>200</v>
      </c>
      <c r="AL320" s="11"/>
      <c r="AM320" s="11"/>
      <c r="AN320" s="11"/>
      <c r="AO320" s="11"/>
      <c r="AP320" s="11">
        <v>200</v>
      </c>
      <c r="AQ320" s="11"/>
      <c r="AR320" s="11"/>
      <c r="AS320" s="11"/>
      <c r="AT320" s="20" t="str">
        <f>HYPERLINK("http://www.openstreetmap.org/?mlat=34.4189&amp;mlon=44.9408&amp;zoom=12#map=12/34.4189/44.9408","Maplink1")</f>
        <v>Maplink1</v>
      </c>
      <c r="AU320" s="20" t="str">
        <f>HYPERLINK("https://www.google.iq/maps/search/+34.4189,44.9408/@34.4189,44.9408,14z?hl=en","Maplink2")</f>
        <v>Maplink2</v>
      </c>
      <c r="AV320" s="20" t="str">
        <f>HYPERLINK("http://www.bing.com/maps/?lvl=14&amp;sty=h&amp;cp=34.4189~44.9408&amp;sp=point.34.4189_44.9408","Maplink3")</f>
        <v>Maplink3</v>
      </c>
    </row>
    <row r="321" spans="1:48" x14ac:dyDescent="0.25">
      <c r="A321" s="9">
        <v>11912</v>
      </c>
      <c r="B321" s="10" t="s">
        <v>14</v>
      </c>
      <c r="C321" s="10" t="s">
        <v>641</v>
      </c>
      <c r="D321" s="10" t="s">
        <v>642</v>
      </c>
      <c r="E321" s="10" t="s">
        <v>643</v>
      </c>
      <c r="F321" s="10">
        <v>36.0884</v>
      </c>
      <c r="G321" s="10">
        <v>43.538359999999997</v>
      </c>
      <c r="H321" s="11">
        <v>450</v>
      </c>
      <c r="I321" s="11">
        <v>2700</v>
      </c>
      <c r="J321" s="11"/>
      <c r="K321" s="11"/>
      <c r="L321" s="11"/>
      <c r="M321" s="11"/>
      <c r="N321" s="11"/>
      <c r="O321" s="11"/>
      <c r="P321" s="11">
        <v>450</v>
      </c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>
        <v>450</v>
      </c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>
        <v>450</v>
      </c>
      <c r="AP321" s="11"/>
      <c r="AQ321" s="11"/>
      <c r="AR321" s="11"/>
      <c r="AS321" s="11"/>
      <c r="AT321" s="20" t="str">
        <f>HYPERLINK("http://www.openstreetmap.org/?mlat=36.0884&amp;mlon=43.5384&amp;zoom=12#map=12/36.0884/43.5384","Maplink1")</f>
        <v>Maplink1</v>
      </c>
      <c r="AU321" s="20" t="str">
        <f>HYPERLINK("https://www.google.iq/maps/search/+36.0884,43.5384/@36.0884,43.5384,14z?hl=en","Maplink2")</f>
        <v>Maplink2</v>
      </c>
      <c r="AV321" s="20" t="str">
        <f>HYPERLINK("http://www.bing.com/maps/?lvl=14&amp;sty=h&amp;cp=36.0884~43.5384&amp;sp=point.36.0884_43.5384","Maplink3")</f>
        <v>Maplink3</v>
      </c>
    </row>
    <row r="322" spans="1:48" x14ac:dyDescent="0.25">
      <c r="A322" s="9">
        <v>29522</v>
      </c>
      <c r="B322" s="10" t="s">
        <v>14</v>
      </c>
      <c r="C322" s="10" t="s">
        <v>641</v>
      </c>
      <c r="D322" s="10" t="s">
        <v>644</v>
      </c>
      <c r="E322" s="10" t="s">
        <v>645</v>
      </c>
      <c r="F322" s="10">
        <v>35.780508240000003</v>
      </c>
      <c r="G322" s="10">
        <v>43.594056129999998</v>
      </c>
      <c r="H322" s="11">
        <v>65</v>
      </c>
      <c r="I322" s="11">
        <v>390</v>
      </c>
      <c r="J322" s="11"/>
      <c r="K322" s="11"/>
      <c r="L322" s="11"/>
      <c r="M322" s="11"/>
      <c r="N322" s="11"/>
      <c r="O322" s="11"/>
      <c r="P322" s="11">
        <v>65</v>
      </c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>
        <v>65</v>
      </c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>
        <v>65</v>
      </c>
      <c r="AP322" s="11"/>
      <c r="AQ322" s="11"/>
      <c r="AR322" s="11"/>
      <c r="AS322" s="11"/>
      <c r="AT322" s="20" t="str">
        <f>HYPERLINK("http://www.openstreetmap.org/?mlat=35.7805&amp;mlon=43.5941&amp;zoom=12#map=12/35.7805/43.5941","Maplink1")</f>
        <v>Maplink1</v>
      </c>
      <c r="AU322" s="20" t="str">
        <f>HYPERLINK("https://www.google.iq/maps/search/+35.7805,43.5941/@35.7805,43.5941,14z?hl=en","Maplink2")</f>
        <v>Maplink2</v>
      </c>
      <c r="AV322" s="20" t="str">
        <f>HYPERLINK("http://www.bing.com/maps/?lvl=14&amp;sty=h&amp;cp=35.7805~43.5941&amp;sp=point.35.7805_43.5941","Maplink3")</f>
        <v>Maplink3</v>
      </c>
    </row>
    <row r="323" spans="1:48" x14ac:dyDescent="0.25">
      <c r="A323" s="9">
        <v>13500</v>
      </c>
      <c r="B323" s="10" t="s">
        <v>14</v>
      </c>
      <c r="C323" s="10" t="s">
        <v>641</v>
      </c>
      <c r="D323" s="10" t="s">
        <v>646</v>
      </c>
      <c r="E323" s="10" t="s">
        <v>647</v>
      </c>
      <c r="F323" s="10">
        <v>35.776267070000003</v>
      </c>
      <c r="G323" s="10">
        <v>43.582733640000001</v>
      </c>
      <c r="H323" s="11">
        <v>260</v>
      </c>
      <c r="I323" s="11">
        <v>1560</v>
      </c>
      <c r="J323" s="11"/>
      <c r="K323" s="11"/>
      <c r="L323" s="11"/>
      <c r="M323" s="11"/>
      <c r="N323" s="11"/>
      <c r="O323" s="11"/>
      <c r="P323" s="11">
        <v>260</v>
      </c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>
        <v>260</v>
      </c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>
        <v>260</v>
      </c>
      <c r="AP323" s="11"/>
      <c r="AQ323" s="11"/>
      <c r="AR323" s="11"/>
      <c r="AS323" s="11"/>
      <c r="AT323" s="20" t="str">
        <f>HYPERLINK("http://www.openstreetmap.org/?mlat=35.7763&amp;mlon=43.5827&amp;zoom=12#map=12/35.7763/43.5827","Maplink1")</f>
        <v>Maplink1</v>
      </c>
      <c r="AU323" s="20" t="str">
        <f>HYPERLINK("https://www.google.iq/maps/search/+35.7763,43.5827/@35.7763,43.5827,14z?hl=en","Maplink2")</f>
        <v>Maplink2</v>
      </c>
      <c r="AV323" s="20" t="str">
        <f>HYPERLINK("http://www.bing.com/maps/?lvl=14&amp;sty=h&amp;cp=35.7763~43.5827&amp;sp=point.35.7763_43.5827","Maplink3")</f>
        <v>Maplink3</v>
      </c>
    </row>
    <row r="324" spans="1:48" x14ac:dyDescent="0.25">
      <c r="A324" s="9">
        <v>13434</v>
      </c>
      <c r="B324" s="10" t="s">
        <v>14</v>
      </c>
      <c r="C324" s="10" t="s">
        <v>641</v>
      </c>
      <c r="D324" s="10" t="s">
        <v>1218</v>
      </c>
      <c r="E324" s="10" t="s">
        <v>1219</v>
      </c>
      <c r="F324" s="10">
        <v>35.853900000000003</v>
      </c>
      <c r="G324" s="10">
        <v>43.392499999999998</v>
      </c>
      <c r="H324" s="11">
        <v>43</v>
      </c>
      <c r="I324" s="11">
        <v>258</v>
      </c>
      <c r="J324" s="11"/>
      <c r="K324" s="11"/>
      <c r="L324" s="11"/>
      <c r="M324" s="11"/>
      <c r="N324" s="11"/>
      <c r="O324" s="11"/>
      <c r="P324" s="11">
        <v>43</v>
      </c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>
        <v>43</v>
      </c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>
        <v>43</v>
      </c>
      <c r="AT324" s="20" t="str">
        <f>HYPERLINK("http://www.openstreetmap.org/?mlat=35.8539&amp;mlon=43.3925&amp;zoom=12#map=12/35.8539/43.3925","Maplink1")</f>
        <v>Maplink1</v>
      </c>
      <c r="AU324" s="20" t="str">
        <f>HYPERLINK("https://www.google.iq/maps/search/+35.8539,43.3925/@35.8539,43.3925,14z?hl=en","Maplink2")</f>
        <v>Maplink2</v>
      </c>
      <c r="AV324" s="20" t="str">
        <f>HYPERLINK("http://www.bing.com/maps/?lvl=14&amp;sty=h&amp;cp=35.8539~43.3925&amp;sp=point.35.8539_43.3925","Maplink3")</f>
        <v>Maplink3</v>
      </c>
    </row>
    <row r="325" spans="1:48" x14ac:dyDescent="0.25">
      <c r="A325" s="9">
        <v>13278</v>
      </c>
      <c r="B325" s="10" t="s">
        <v>14</v>
      </c>
      <c r="C325" s="10" t="s">
        <v>641</v>
      </c>
      <c r="D325" s="10" t="s">
        <v>1220</v>
      </c>
      <c r="E325" s="10" t="s">
        <v>1221</v>
      </c>
      <c r="F325" s="10">
        <v>35.826799999999999</v>
      </c>
      <c r="G325" s="10">
        <v>43.3887</v>
      </c>
      <c r="H325" s="11">
        <v>60</v>
      </c>
      <c r="I325" s="11">
        <v>360</v>
      </c>
      <c r="J325" s="11"/>
      <c r="K325" s="11"/>
      <c r="L325" s="11"/>
      <c r="M325" s="11"/>
      <c r="N325" s="11"/>
      <c r="O325" s="11"/>
      <c r="P325" s="11">
        <v>60</v>
      </c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>
        <v>60</v>
      </c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>
        <v>60</v>
      </c>
      <c r="AT325" s="20" t="str">
        <f>HYPERLINK("http://www.openstreetmap.org/?mlat=35.8268&amp;mlon=43.3887&amp;zoom=12#map=12/35.8268/43.3887","Maplink1")</f>
        <v>Maplink1</v>
      </c>
      <c r="AU325" s="20" t="str">
        <f>HYPERLINK("https://www.google.iq/maps/search/+35.8268,43.3887/@35.8268,43.3887,14z?hl=en","Maplink2")</f>
        <v>Maplink2</v>
      </c>
      <c r="AV325" s="20" t="str">
        <f>HYPERLINK("http://www.bing.com/maps/?lvl=14&amp;sty=h&amp;cp=35.8268~43.3887&amp;sp=point.35.8268_43.3887","Maplink3")</f>
        <v>Maplink3</v>
      </c>
    </row>
    <row r="326" spans="1:48" x14ac:dyDescent="0.25">
      <c r="A326" s="9">
        <v>13357</v>
      </c>
      <c r="B326" s="10" t="s">
        <v>14</v>
      </c>
      <c r="C326" s="10" t="s">
        <v>641</v>
      </c>
      <c r="D326" s="10" t="s">
        <v>1222</v>
      </c>
      <c r="E326" s="10" t="s">
        <v>1223</v>
      </c>
      <c r="F326" s="10">
        <v>35.856200000000001</v>
      </c>
      <c r="G326" s="10">
        <v>43.378999999999998</v>
      </c>
      <c r="H326" s="11">
        <v>127</v>
      </c>
      <c r="I326" s="11">
        <v>762</v>
      </c>
      <c r="J326" s="11"/>
      <c r="K326" s="11"/>
      <c r="L326" s="11"/>
      <c r="M326" s="11"/>
      <c r="N326" s="11"/>
      <c r="O326" s="11"/>
      <c r="P326" s="11">
        <v>127</v>
      </c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>
        <v>127</v>
      </c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>
        <v>127</v>
      </c>
      <c r="AT326" s="20" t="str">
        <f>HYPERLINK("http://www.openstreetmap.org/?mlat=35.8562&amp;mlon=43.379&amp;zoom=12#map=12/35.8562/43.379","Maplink1")</f>
        <v>Maplink1</v>
      </c>
      <c r="AU326" s="20" t="str">
        <f>HYPERLINK("https://www.google.iq/maps/search/+35.8562,43.379/@35.8562,43.379,14z?hl=en","Maplink2")</f>
        <v>Maplink2</v>
      </c>
      <c r="AV326" s="20" t="str">
        <f>HYPERLINK("http://www.bing.com/maps/?lvl=14&amp;sty=h&amp;cp=35.8562~43.379&amp;sp=point.35.8562_43.379","Maplink3")</f>
        <v>Maplink3</v>
      </c>
    </row>
    <row r="327" spans="1:48" x14ac:dyDescent="0.25">
      <c r="A327" s="9">
        <v>13502</v>
      </c>
      <c r="B327" s="10" t="s">
        <v>14</v>
      </c>
      <c r="C327" s="10" t="s">
        <v>641</v>
      </c>
      <c r="D327" s="10" t="s">
        <v>648</v>
      </c>
      <c r="E327" s="10" t="s">
        <v>649</v>
      </c>
      <c r="F327" s="10">
        <v>35.777571080000001</v>
      </c>
      <c r="G327" s="10">
        <v>43.575704250000001</v>
      </c>
      <c r="H327" s="11">
        <v>245</v>
      </c>
      <c r="I327" s="11">
        <v>1470</v>
      </c>
      <c r="J327" s="11"/>
      <c r="K327" s="11"/>
      <c r="L327" s="11"/>
      <c r="M327" s="11"/>
      <c r="N327" s="11"/>
      <c r="O327" s="11"/>
      <c r="P327" s="11">
        <v>245</v>
      </c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>
        <v>245</v>
      </c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>
        <v>245</v>
      </c>
      <c r="AP327" s="11"/>
      <c r="AQ327" s="11"/>
      <c r="AR327" s="11"/>
      <c r="AS327" s="11"/>
      <c r="AT327" s="20" t="str">
        <f>HYPERLINK("http://www.openstreetmap.org/?mlat=35.7776&amp;mlon=43.5757&amp;zoom=12#map=12/35.7776/43.5757","Maplink1")</f>
        <v>Maplink1</v>
      </c>
      <c r="AU327" s="20" t="str">
        <f>HYPERLINK("https://www.google.iq/maps/search/+35.7776,43.5757/@35.7776,43.5757,14z?hl=en","Maplink2")</f>
        <v>Maplink2</v>
      </c>
      <c r="AV327" s="20" t="str">
        <f>HYPERLINK("http://www.bing.com/maps/?lvl=14&amp;sty=h&amp;cp=35.7776~43.5757&amp;sp=point.35.7776_43.5757","Maplink3")</f>
        <v>Maplink3</v>
      </c>
    </row>
    <row r="328" spans="1:48" x14ac:dyDescent="0.25">
      <c r="A328" s="9">
        <v>13550</v>
      </c>
      <c r="B328" s="10" t="s">
        <v>14</v>
      </c>
      <c r="C328" s="10" t="s">
        <v>641</v>
      </c>
      <c r="D328" s="10" t="s">
        <v>1224</v>
      </c>
      <c r="E328" s="10" t="s">
        <v>1225</v>
      </c>
      <c r="F328" s="10">
        <v>35.783299999999997</v>
      </c>
      <c r="G328" s="10">
        <v>43.352499999999999</v>
      </c>
      <c r="H328" s="11">
        <v>80</v>
      </c>
      <c r="I328" s="11">
        <v>480</v>
      </c>
      <c r="J328" s="11"/>
      <c r="K328" s="11"/>
      <c r="L328" s="11"/>
      <c r="M328" s="11"/>
      <c r="N328" s="11"/>
      <c r="O328" s="11"/>
      <c r="P328" s="11">
        <v>80</v>
      </c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>
        <v>80</v>
      </c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>
        <v>80</v>
      </c>
      <c r="AT328" s="20" t="str">
        <f>HYPERLINK("http://www.openstreetmap.org/?mlat=35.7833&amp;mlon=43.3525&amp;zoom=12#map=12/35.7833/43.3525","Maplink1")</f>
        <v>Maplink1</v>
      </c>
      <c r="AU328" s="20" t="str">
        <f>HYPERLINK("https://www.google.iq/maps/search/+35.7833,43.3525/@35.7833,43.3525,14z?hl=en","Maplink2")</f>
        <v>Maplink2</v>
      </c>
      <c r="AV328" s="20" t="str">
        <f>HYPERLINK("http://www.bing.com/maps/?lvl=14&amp;sty=h&amp;cp=35.7833~43.3525&amp;sp=point.35.7833_43.3525","Maplink3")</f>
        <v>Maplink3</v>
      </c>
    </row>
    <row r="329" spans="1:48" x14ac:dyDescent="0.25">
      <c r="A329" s="9">
        <v>13361</v>
      </c>
      <c r="B329" s="10" t="s">
        <v>14</v>
      </c>
      <c r="C329" s="10" t="s">
        <v>641</v>
      </c>
      <c r="D329" s="10" t="s">
        <v>650</v>
      </c>
      <c r="E329" s="10" t="s">
        <v>651</v>
      </c>
      <c r="F329" s="10">
        <v>36.059150000000002</v>
      </c>
      <c r="G329" s="10">
        <v>43.507510000000003</v>
      </c>
      <c r="H329" s="11">
        <v>111</v>
      </c>
      <c r="I329" s="11">
        <v>666</v>
      </c>
      <c r="J329" s="11"/>
      <c r="K329" s="11"/>
      <c r="L329" s="11"/>
      <c r="M329" s="11"/>
      <c r="N329" s="11"/>
      <c r="O329" s="11"/>
      <c r="P329" s="11">
        <v>111</v>
      </c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>
        <v>111</v>
      </c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>
        <v>111</v>
      </c>
      <c r="AP329" s="11"/>
      <c r="AQ329" s="11"/>
      <c r="AR329" s="11"/>
      <c r="AS329" s="11"/>
      <c r="AT329" s="20" t="str">
        <f>HYPERLINK("http://www.openstreetmap.org/?mlat=36.0592&amp;mlon=43.5075&amp;zoom=12#map=12/36.0592/43.5075","Maplink1")</f>
        <v>Maplink1</v>
      </c>
      <c r="AU329" s="20" t="str">
        <f>HYPERLINK("https://www.google.iq/maps/search/+36.0592,43.5075/@36.0592,43.5075,14z?hl=en","Maplink2")</f>
        <v>Maplink2</v>
      </c>
      <c r="AV329" s="20" t="str">
        <f>HYPERLINK("http://www.bing.com/maps/?lvl=14&amp;sty=h&amp;cp=36.0592~43.5075&amp;sp=point.36.0592_43.5075","Maplink3")</f>
        <v>Maplink3</v>
      </c>
    </row>
    <row r="330" spans="1:48" x14ac:dyDescent="0.25">
      <c r="A330" s="9">
        <v>12494</v>
      </c>
      <c r="B330" s="10" t="s">
        <v>14</v>
      </c>
      <c r="C330" s="10" t="s">
        <v>641</v>
      </c>
      <c r="D330" s="10" t="s">
        <v>1226</v>
      </c>
      <c r="E330" s="10" t="s">
        <v>1227</v>
      </c>
      <c r="F330" s="10">
        <v>35.8215</v>
      </c>
      <c r="G330" s="10">
        <v>43.386200000000002</v>
      </c>
      <c r="H330" s="11">
        <v>159</v>
      </c>
      <c r="I330" s="11">
        <v>954</v>
      </c>
      <c r="J330" s="11"/>
      <c r="K330" s="11"/>
      <c r="L330" s="11"/>
      <c r="M330" s="11"/>
      <c r="N330" s="11"/>
      <c r="O330" s="11"/>
      <c r="P330" s="11">
        <v>159</v>
      </c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>
        <v>159</v>
      </c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>
        <v>159</v>
      </c>
      <c r="AT330" s="20" t="str">
        <f>HYPERLINK("http://www.openstreetmap.org/?mlat=35.8215&amp;mlon=43.3862&amp;zoom=12#map=12/35.8215/43.3862","Maplink1")</f>
        <v>Maplink1</v>
      </c>
      <c r="AU330" s="20" t="str">
        <f>HYPERLINK("https://www.google.iq/maps/search/+35.8215,43.3862/@35.8215,43.3862,14z?hl=en","Maplink2")</f>
        <v>Maplink2</v>
      </c>
      <c r="AV330" s="20" t="str">
        <f>HYPERLINK("http://www.bing.com/maps/?lvl=14&amp;sty=h&amp;cp=35.8215~43.3862&amp;sp=point.35.8215_43.3862","Maplink3")</f>
        <v>Maplink3</v>
      </c>
    </row>
    <row r="331" spans="1:48" x14ac:dyDescent="0.25">
      <c r="A331" s="9">
        <v>13501</v>
      </c>
      <c r="B331" s="10" t="s">
        <v>14</v>
      </c>
      <c r="C331" s="10" t="s">
        <v>641</v>
      </c>
      <c r="D331" s="10" t="s">
        <v>652</v>
      </c>
      <c r="E331" s="10" t="s">
        <v>653</v>
      </c>
      <c r="F331" s="10">
        <v>35.767175770000001</v>
      </c>
      <c r="G331" s="10">
        <v>43.577763150000003</v>
      </c>
      <c r="H331" s="11">
        <v>280</v>
      </c>
      <c r="I331" s="11">
        <v>1680</v>
      </c>
      <c r="J331" s="11"/>
      <c r="K331" s="11"/>
      <c r="L331" s="11"/>
      <c r="M331" s="11"/>
      <c r="N331" s="11"/>
      <c r="O331" s="11"/>
      <c r="P331" s="11">
        <v>280</v>
      </c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>
        <v>280</v>
      </c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>
        <v>280</v>
      </c>
      <c r="AP331" s="11"/>
      <c r="AQ331" s="11"/>
      <c r="AR331" s="11"/>
      <c r="AS331" s="11"/>
      <c r="AT331" s="20" t="str">
        <f>HYPERLINK("http://www.openstreetmap.org/?mlat=35.7672&amp;mlon=43.5778&amp;zoom=12#map=12/35.7672/43.5778","Maplink1")</f>
        <v>Maplink1</v>
      </c>
      <c r="AU331" s="20" t="str">
        <f>HYPERLINK("https://www.google.iq/maps/search/+35.7672,43.5778/@35.7672,43.5778,14z?hl=en","Maplink2")</f>
        <v>Maplink2</v>
      </c>
      <c r="AV331" s="20" t="str">
        <f>HYPERLINK("http://www.bing.com/maps/?lvl=14&amp;sty=h&amp;cp=35.7672~43.5778&amp;sp=point.35.7672_43.5778","Maplink3")</f>
        <v>Maplink3</v>
      </c>
    </row>
    <row r="332" spans="1:48" x14ac:dyDescent="0.25">
      <c r="A332" s="9">
        <v>12531</v>
      </c>
      <c r="B332" s="10" t="s">
        <v>14</v>
      </c>
      <c r="C332" s="10" t="s">
        <v>641</v>
      </c>
      <c r="D332" s="10" t="s">
        <v>1228</v>
      </c>
      <c r="E332" s="10" t="s">
        <v>1229</v>
      </c>
      <c r="F332" s="10">
        <v>35.769199999999998</v>
      </c>
      <c r="G332" s="10">
        <v>43.363999999999997</v>
      </c>
      <c r="H332" s="11">
        <v>92</v>
      </c>
      <c r="I332" s="11">
        <v>552</v>
      </c>
      <c r="J332" s="11"/>
      <c r="K332" s="11"/>
      <c r="L332" s="11"/>
      <c r="M332" s="11"/>
      <c r="N332" s="11"/>
      <c r="O332" s="11"/>
      <c r="P332" s="11">
        <v>92</v>
      </c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>
        <v>92</v>
      </c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>
        <v>92</v>
      </c>
      <c r="AT332" s="20" t="str">
        <f>HYPERLINK("http://www.openstreetmap.org/?mlat=35.7692&amp;mlon=43.364&amp;zoom=12#map=12/35.7692/43.364","Maplink1")</f>
        <v>Maplink1</v>
      </c>
      <c r="AU332" s="20" t="str">
        <f>HYPERLINK("https://www.google.iq/maps/search/+35.7692,43.364/@35.7692,43.364,14z?hl=en","Maplink2")</f>
        <v>Maplink2</v>
      </c>
      <c r="AV332" s="20" t="str">
        <f>HYPERLINK("http://www.bing.com/maps/?lvl=14&amp;sty=h&amp;cp=35.7692~43.364&amp;sp=point.35.7692_43.364","Maplink3")</f>
        <v>Maplink3</v>
      </c>
    </row>
    <row r="333" spans="1:48" x14ac:dyDescent="0.25">
      <c r="A333" s="9">
        <v>13352</v>
      </c>
      <c r="B333" s="10" t="s">
        <v>14</v>
      </c>
      <c r="C333" s="10" t="s">
        <v>641</v>
      </c>
      <c r="D333" s="10" t="s">
        <v>1162</v>
      </c>
      <c r="E333" s="10" t="s">
        <v>1163</v>
      </c>
      <c r="F333" s="10">
        <v>36.024520000000003</v>
      </c>
      <c r="G333" s="10">
        <v>43.295769999999997</v>
      </c>
      <c r="H333" s="11">
        <v>651</v>
      </c>
      <c r="I333" s="11">
        <v>3906</v>
      </c>
      <c r="J333" s="11"/>
      <c r="K333" s="11"/>
      <c r="L333" s="11"/>
      <c r="M333" s="11"/>
      <c r="N333" s="11"/>
      <c r="O333" s="11"/>
      <c r="P333" s="11">
        <v>651</v>
      </c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>
        <v>651</v>
      </c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>
        <v>651</v>
      </c>
      <c r="AP333" s="11"/>
      <c r="AQ333" s="11"/>
      <c r="AR333" s="11"/>
      <c r="AS333" s="11"/>
      <c r="AT333" s="20" t="str">
        <f>HYPERLINK("http://www.openstreetmap.org/?mlat=36.0245&amp;mlon=43.2958&amp;zoom=12#map=12/36.0245/43.2958","Maplink1")</f>
        <v>Maplink1</v>
      </c>
      <c r="AU333" s="20" t="str">
        <f>HYPERLINK("https://www.google.iq/maps/search/+36.0245,43.2958/@36.0245,43.2958,14z?hl=en","Maplink2")</f>
        <v>Maplink2</v>
      </c>
      <c r="AV333" s="20" t="str">
        <f>HYPERLINK("http://www.bing.com/maps/?lvl=14&amp;sty=h&amp;cp=36.0245~43.2958&amp;sp=point.36.0245_43.2958","Maplink3")</f>
        <v>Maplink3</v>
      </c>
    </row>
    <row r="334" spans="1:48" x14ac:dyDescent="0.25">
      <c r="A334" s="9">
        <v>22976</v>
      </c>
      <c r="B334" s="10" t="s">
        <v>14</v>
      </c>
      <c r="C334" s="10" t="s">
        <v>641</v>
      </c>
      <c r="D334" s="10" t="s">
        <v>654</v>
      </c>
      <c r="E334" s="10" t="s">
        <v>655</v>
      </c>
      <c r="F334" s="10">
        <v>35.777312680000001</v>
      </c>
      <c r="G334" s="10">
        <v>43.57313731</v>
      </c>
      <c r="H334" s="11">
        <v>386</v>
      </c>
      <c r="I334" s="11">
        <v>2316</v>
      </c>
      <c r="J334" s="11"/>
      <c r="K334" s="11"/>
      <c r="L334" s="11"/>
      <c r="M334" s="11"/>
      <c r="N334" s="11"/>
      <c r="O334" s="11"/>
      <c r="P334" s="11">
        <v>386</v>
      </c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>
        <v>386</v>
      </c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>
        <v>386</v>
      </c>
      <c r="AP334" s="11"/>
      <c r="AQ334" s="11"/>
      <c r="AR334" s="11"/>
      <c r="AS334" s="11"/>
      <c r="AT334" s="20" t="str">
        <f>HYPERLINK("http://www.openstreetmap.org/?mlat=35.7773&amp;mlon=43.5731&amp;zoom=12#map=12/35.7773/43.5731","Maplink1")</f>
        <v>Maplink1</v>
      </c>
      <c r="AU334" s="20" t="str">
        <f>HYPERLINK("https://www.google.iq/maps/search/+35.7773,43.5731/@35.7773,43.5731,14z?hl=en","Maplink2")</f>
        <v>Maplink2</v>
      </c>
      <c r="AV334" s="20" t="str">
        <f>HYPERLINK("http://www.bing.com/maps/?lvl=14&amp;sty=h&amp;cp=35.7773~43.5731&amp;sp=point.35.7773_43.5731","Maplink3")</f>
        <v>Maplink3</v>
      </c>
    </row>
    <row r="335" spans="1:48" x14ac:dyDescent="0.25">
      <c r="A335" s="9">
        <v>13561</v>
      </c>
      <c r="B335" s="10" t="s">
        <v>14</v>
      </c>
      <c r="C335" s="10" t="s">
        <v>641</v>
      </c>
      <c r="D335" s="10" t="s">
        <v>1230</v>
      </c>
      <c r="E335" s="10" t="s">
        <v>1231</v>
      </c>
      <c r="F335" s="10">
        <v>35.835299999999997</v>
      </c>
      <c r="G335" s="10">
        <v>43.344799999999999</v>
      </c>
      <c r="H335" s="11">
        <v>260</v>
      </c>
      <c r="I335" s="11">
        <v>1560</v>
      </c>
      <c r="J335" s="11"/>
      <c r="K335" s="11"/>
      <c r="L335" s="11"/>
      <c r="M335" s="11"/>
      <c r="N335" s="11"/>
      <c r="O335" s="11"/>
      <c r="P335" s="11">
        <v>260</v>
      </c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>
        <v>260</v>
      </c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>
        <v>260</v>
      </c>
      <c r="AT335" s="20" t="str">
        <f>HYPERLINK("http://www.openstreetmap.org/?mlat=35.8353&amp;mlon=43.3448&amp;zoom=12#map=12/35.8353/43.3448","Maplink1")</f>
        <v>Maplink1</v>
      </c>
      <c r="AU335" s="20" t="str">
        <f>HYPERLINK("https://www.google.iq/maps/search/+35.8353,43.3448/@35.8353,43.3448,14z?hl=en","Maplink2")</f>
        <v>Maplink2</v>
      </c>
      <c r="AV335" s="20" t="str">
        <f>HYPERLINK("http://www.bing.com/maps/?lvl=14&amp;sty=h&amp;cp=35.8353~43.3448&amp;sp=point.35.8353_43.3448","Maplink3")</f>
        <v>Maplink3</v>
      </c>
    </row>
    <row r="336" spans="1:48" x14ac:dyDescent="0.25">
      <c r="A336" s="9">
        <v>13275</v>
      </c>
      <c r="B336" s="10" t="s">
        <v>14</v>
      </c>
      <c r="C336" s="10" t="s">
        <v>641</v>
      </c>
      <c r="D336" s="10" t="s">
        <v>1232</v>
      </c>
      <c r="E336" s="10" t="s">
        <v>1233</v>
      </c>
      <c r="F336" s="10">
        <v>35.833599999999997</v>
      </c>
      <c r="G336" s="10">
        <v>43.390999999999998</v>
      </c>
      <c r="H336" s="11">
        <v>170</v>
      </c>
      <c r="I336" s="11">
        <v>1020</v>
      </c>
      <c r="J336" s="11"/>
      <c r="K336" s="11"/>
      <c r="L336" s="11"/>
      <c r="M336" s="11"/>
      <c r="N336" s="11"/>
      <c r="O336" s="11"/>
      <c r="P336" s="11">
        <v>170</v>
      </c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>
        <v>170</v>
      </c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>
        <v>170</v>
      </c>
      <c r="AT336" s="20" t="str">
        <f>HYPERLINK("http://www.openstreetmap.org/?mlat=35.8336&amp;mlon=43.391&amp;zoom=12#map=12/35.8336/43.391","Maplink1")</f>
        <v>Maplink1</v>
      </c>
      <c r="AU336" s="20" t="str">
        <f>HYPERLINK("https://www.google.iq/maps/search/+35.8336,43.391/@35.8336,43.391,14z?hl=en","Maplink2")</f>
        <v>Maplink2</v>
      </c>
      <c r="AV336" s="20" t="str">
        <f>HYPERLINK("http://www.bing.com/maps/?lvl=14&amp;sty=h&amp;cp=35.8336~43.391&amp;sp=point.35.8336_43.391","Maplink3")</f>
        <v>Maplink3</v>
      </c>
    </row>
    <row r="337" spans="1:48" x14ac:dyDescent="0.25">
      <c r="A337" s="9">
        <v>27244</v>
      </c>
      <c r="B337" s="10" t="s">
        <v>14</v>
      </c>
      <c r="C337" s="10" t="s">
        <v>641</v>
      </c>
      <c r="D337" s="10" t="s">
        <v>656</v>
      </c>
      <c r="E337" s="10" t="s">
        <v>657</v>
      </c>
      <c r="F337" s="10">
        <v>35.775451429999997</v>
      </c>
      <c r="G337" s="10">
        <v>43.578466380000002</v>
      </c>
      <c r="H337" s="11">
        <v>218</v>
      </c>
      <c r="I337" s="11">
        <v>1308</v>
      </c>
      <c r="J337" s="11"/>
      <c r="K337" s="11"/>
      <c r="L337" s="11"/>
      <c r="M337" s="11"/>
      <c r="N337" s="11"/>
      <c r="O337" s="11"/>
      <c r="P337" s="11">
        <v>218</v>
      </c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>
        <v>218</v>
      </c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>
        <v>218</v>
      </c>
      <c r="AP337" s="11"/>
      <c r="AQ337" s="11"/>
      <c r="AR337" s="11"/>
      <c r="AS337" s="11"/>
      <c r="AT337" s="20" t="str">
        <f>HYPERLINK("http://www.openstreetmap.org/?mlat=35.7755&amp;mlon=43.5785&amp;zoom=12#map=12/35.7755/43.5785","Maplink1")</f>
        <v>Maplink1</v>
      </c>
      <c r="AU337" s="20" t="str">
        <f>HYPERLINK("https://www.google.iq/maps/search/+35.7755,43.5785/@35.7755,43.5785,14z?hl=en","Maplink2")</f>
        <v>Maplink2</v>
      </c>
      <c r="AV337" s="20" t="str">
        <f>HYPERLINK("http://www.bing.com/maps/?lvl=14&amp;sty=h&amp;cp=35.7755~43.5785&amp;sp=point.35.7755_43.5785","Maplink3")</f>
        <v>Maplink3</v>
      </c>
    </row>
    <row r="338" spans="1:48" x14ac:dyDescent="0.25">
      <c r="A338" s="9">
        <v>13674</v>
      </c>
      <c r="B338" s="10" t="s">
        <v>14</v>
      </c>
      <c r="C338" s="10" t="s">
        <v>641</v>
      </c>
      <c r="D338" s="10" t="s">
        <v>658</v>
      </c>
      <c r="E338" s="10" t="s">
        <v>659</v>
      </c>
      <c r="F338" s="10">
        <v>35.780755890000002</v>
      </c>
      <c r="G338" s="10">
        <v>43.585042340000001</v>
      </c>
      <c r="H338" s="11">
        <v>520</v>
      </c>
      <c r="I338" s="11">
        <v>3120</v>
      </c>
      <c r="J338" s="11"/>
      <c r="K338" s="11"/>
      <c r="L338" s="11"/>
      <c r="M338" s="11"/>
      <c r="N338" s="11"/>
      <c r="O338" s="11"/>
      <c r="P338" s="11">
        <v>520</v>
      </c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>
        <v>520</v>
      </c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>
        <v>520</v>
      </c>
      <c r="AP338" s="11"/>
      <c r="AQ338" s="11"/>
      <c r="AR338" s="11"/>
      <c r="AS338" s="11"/>
      <c r="AT338" s="20" t="str">
        <f>HYPERLINK("http://www.openstreetmap.org/?mlat=35.7808&amp;mlon=43.585&amp;zoom=12#map=12/35.7808/43.585","Maplink1")</f>
        <v>Maplink1</v>
      </c>
      <c r="AU338" s="20" t="str">
        <f>HYPERLINK("https://www.google.iq/maps/search/+35.7808,43.585/@35.7808,43.585,14z?hl=en","Maplink2")</f>
        <v>Maplink2</v>
      </c>
      <c r="AV338" s="20" t="str">
        <f>HYPERLINK("http://www.bing.com/maps/?lvl=14&amp;sty=h&amp;cp=35.7808~43.585&amp;sp=point.35.7808_43.585","Maplink3")</f>
        <v>Maplink3</v>
      </c>
    </row>
    <row r="339" spans="1:48" x14ac:dyDescent="0.25">
      <c r="A339" s="9">
        <v>13675</v>
      </c>
      <c r="B339" s="10" t="s">
        <v>14</v>
      </c>
      <c r="C339" s="10" t="s">
        <v>641</v>
      </c>
      <c r="D339" s="10" t="s">
        <v>660</v>
      </c>
      <c r="E339" s="10" t="s">
        <v>661</v>
      </c>
      <c r="F339" s="10">
        <v>35.775642910000002</v>
      </c>
      <c r="G339" s="10">
        <v>43.580938779999997</v>
      </c>
      <c r="H339" s="11">
        <v>660</v>
      </c>
      <c r="I339" s="11">
        <v>3960</v>
      </c>
      <c r="J339" s="11"/>
      <c r="K339" s="11"/>
      <c r="L339" s="11"/>
      <c r="M339" s="11"/>
      <c r="N339" s="11"/>
      <c r="O339" s="11"/>
      <c r="P339" s="11">
        <v>660</v>
      </c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>
        <v>660</v>
      </c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>
        <v>660</v>
      </c>
      <c r="AP339" s="11"/>
      <c r="AQ339" s="11"/>
      <c r="AR339" s="11"/>
      <c r="AS339" s="11"/>
      <c r="AT339" s="20" t="str">
        <f>HYPERLINK("http://www.openstreetmap.org/?mlat=35.7756&amp;mlon=43.5809&amp;zoom=12#map=12/35.7756/43.5809","Maplink1")</f>
        <v>Maplink1</v>
      </c>
      <c r="AU339" s="20" t="str">
        <f>HYPERLINK("https://www.google.iq/maps/search/+35.7756,43.5809/@35.7756,43.5809,14z?hl=en","Maplink2")</f>
        <v>Maplink2</v>
      </c>
      <c r="AV339" s="20" t="str">
        <f>HYPERLINK("http://www.bing.com/maps/?lvl=14&amp;sty=h&amp;cp=35.7756~43.5809&amp;sp=point.35.7756_43.5809","Maplink3")</f>
        <v>Maplink3</v>
      </c>
    </row>
    <row r="340" spans="1:48" x14ac:dyDescent="0.25">
      <c r="A340" s="9">
        <v>15173</v>
      </c>
      <c r="B340" s="10" t="s">
        <v>16</v>
      </c>
      <c r="C340" s="10" t="s">
        <v>662</v>
      </c>
      <c r="D340" s="10" t="s">
        <v>663</v>
      </c>
      <c r="E340" s="10" t="s">
        <v>664</v>
      </c>
      <c r="F340" s="10">
        <v>35.243198999999997</v>
      </c>
      <c r="G340" s="10">
        <v>44.279586999999999</v>
      </c>
      <c r="H340" s="11">
        <v>80</v>
      </c>
      <c r="I340" s="11">
        <v>480</v>
      </c>
      <c r="J340" s="11"/>
      <c r="K340" s="11"/>
      <c r="L340" s="11"/>
      <c r="M340" s="11"/>
      <c r="N340" s="11"/>
      <c r="O340" s="11"/>
      <c r="P340" s="11"/>
      <c r="Q340" s="11"/>
      <c r="R340" s="11">
        <v>80</v>
      </c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>
        <v>80</v>
      </c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>
        <v>80</v>
      </c>
      <c r="AO340" s="11"/>
      <c r="AP340" s="11"/>
      <c r="AQ340" s="11"/>
      <c r="AR340" s="11"/>
      <c r="AS340" s="11"/>
      <c r="AT340" s="20" t="str">
        <f>HYPERLINK("http://www.openstreetmap.org/?mlat=35.2432&amp;mlon=44.2796&amp;zoom=12#map=12/35.2432/44.2796","Maplink1")</f>
        <v>Maplink1</v>
      </c>
      <c r="AU340" s="20" t="str">
        <f>HYPERLINK("https://www.google.iq/maps/search/+35.2432,44.2796/@35.2432,44.2796,14z?hl=en","Maplink2")</f>
        <v>Maplink2</v>
      </c>
      <c r="AV340" s="20" t="str">
        <f>HYPERLINK("http://www.bing.com/maps/?lvl=14&amp;sty=h&amp;cp=35.2432~44.2796&amp;sp=point.35.2432_44.2796","Maplink3")</f>
        <v>Maplink3</v>
      </c>
    </row>
    <row r="341" spans="1:48" x14ac:dyDescent="0.25">
      <c r="A341" s="9">
        <v>29631</v>
      </c>
      <c r="B341" s="10" t="s">
        <v>16</v>
      </c>
      <c r="C341" s="10" t="s">
        <v>662</v>
      </c>
      <c r="D341" s="10" t="s">
        <v>665</v>
      </c>
      <c r="E341" s="10" t="s">
        <v>666</v>
      </c>
      <c r="F341" s="10">
        <v>35.066888900000002</v>
      </c>
      <c r="G341" s="10">
        <v>44.388860000000001</v>
      </c>
      <c r="H341" s="11">
        <v>81</v>
      </c>
      <c r="I341" s="11">
        <v>486</v>
      </c>
      <c r="J341" s="11"/>
      <c r="K341" s="11"/>
      <c r="L341" s="11"/>
      <c r="M341" s="11"/>
      <c r="N341" s="11"/>
      <c r="O341" s="11"/>
      <c r="P341" s="11"/>
      <c r="Q341" s="11"/>
      <c r="R341" s="11">
        <v>81</v>
      </c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>
        <v>81</v>
      </c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>
        <v>81</v>
      </c>
      <c r="AQ341" s="11"/>
      <c r="AR341" s="11"/>
      <c r="AS341" s="11"/>
      <c r="AT341" s="20" t="str">
        <f>HYPERLINK("http://www.openstreetmap.org/?mlat=35.0669&amp;mlon=44.3889&amp;zoom=12#map=12/35.0669/44.3889","Maplink1")</f>
        <v>Maplink1</v>
      </c>
      <c r="AU341" s="20" t="str">
        <f>HYPERLINK("https://www.google.iq/maps/search/+35.0669,44.3889/@35.0669,44.3889,14z?hl=en","Maplink2")</f>
        <v>Maplink2</v>
      </c>
      <c r="AV341" s="20" t="str">
        <f>HYPERLINK("http://www.bing.com/maps/?lvl=14&amp;sty=h&amp;cp=35.0669~44.3889&amp;sp=point.35.0669_44.3889","Maplink3")</f>
        <v>Maplink3</v>
      </c>
    </row>
    <row r="342" spans="1:48" x14ac:dyDescent="0.25">
      <c r="A342" s="9">
        <v>15363</v>
      </c>
      <c r="B342" s="10" t="s">
        <v>16</v>
      </c>
      <c r="C342" s="10" t="s">
        <v>16</v>
      </c>
      <c r="D342" s="10" t="s">
        <v>667</v>
      </c>
      <c r="E342" s="10" t="s">
        <v>668</v>
      </c>
      <c r="F342" s="10">
        <v>35.392583000000002</v>
      </c>
      <c r="G342" s="10">
        <v>44.064805999999997</v>
      </c>
      <c r="H342" s="11">
        <v>78</v>
      </c>
      <c r="I342" s="11">
        <v>468</v>
      </c>
      <c r="J342" s="11"/>
      <c r="K342" s="11"/>
      <c r="L342" s="11"/>
      <c r="M342" s="11"/>
      <c r="N342" s="11"/>
      <c r="O342" s="11"/>
      <c r="P342" s="11"/>
      <c r="Q342" s="11"/>
      <c r="R342" s="11">
        <v>78</v>
      </c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>
        <v>60</v>
      </c>
      <c r="AD342" s="11">
        <v>18</v>
      </c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>
        <v>78</v>
      </c>
      <c r="AQ342" s="11"/>
      <c r="AR342" s="11"/>
      <c r="AS342" s="11"/>
      <c r="AT342" s="20" t="str">
        <f>HYPERLINK("http://www.openstreetmap.org/?mlat=35.3926&amp;mlon=44.0648&amp;zoom=12#map=12/35.3926/44.0648","Maplink1")</f>
        <v>Maplink1</v>
      </c>
      <c r="AU342" s="20" t="str">
        <f>HYPERLINK("https://www.google.iq/maps/search/+35.3926,44.0648/@35.3926,44.0648,14z?hl=en","Maplink2")</f>
        <v>Maplink2</v>
      </c>
      <c r="AV342" s="20" t="str">
        <f>HYPERLINK("http://www.bing.com/maps/?lvl=14&amp;sty=h&amp;cp=35.3926~44.0648&amp;sp=point.35.3926_44.0648","Maplink3")</f>
        <v>Maplink3</v>
      </c>
    </row>
    <row r="343" spans="1:48" x14ac:dyDescent="0.25">
      <c r="A343" s="9">
        <v>25708</v>
      </c>
      <c r="B343" s="10" t="s">
        <v>16</v>
      </c>
      <c r="C343" s="10" t="s">
        <v>16</v>
      </c>
      <c r="D343" s="10" t="s">
        <v>669</v>
      </c>
      <c r="E343" s="10" t="s">
        <v>670</v>
      </c>
      <c r="F343" s="10">
        <v>35.519047</v>
      </c>
      <c r="G343" s="10">
        <v>44.233587999999997</v>
      </c>
      <c r="H343" s="11">
        <v>85</v>
      </c>
      <c r="I343" s="11">
        <v>510</v>
      </c>
      <c r="J343" s="11"/>
      <c r="K343" s="11"/>
      <c r="L343" s="11"/>
      <c r="M343" s="11"/>
      <c r="N343" s="11"/>
      <c r="O343" s="11"/>
      <c r="P343" s="11"/>
      <c r="Q343" s="11"/>
      <c r="R343" s="11">
        <v>85</v>
      </c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>
        <v>70</v>
      </c>
      <c r="AD343" s="11">
        <v>15</v>
      </c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>
        <v>85</v>
      </c>
      <c r="AQ343" s="11"/>
      <c r="AR343" s="11"/>
      <c r="AS343" s="11"/>
      <c r="AT343" s="20" t="str">
        <f>HYPERLINK("http://www.openstreetmap.org/?mlat=35.519&amp;mlon=44.2336&amp;zoom=12#map=12/35.519/44.2336","Maplink1")</f>
        <v>Maplink1</v>
      </c>
      <c r="AU343" s="20" t="str">
        <f>HYPERLINK("https://www.google.iq/maps/search/+35.519,44.2336/@35.519,44.2336,14z?hl=en","Maplink2")</f>
        <v>Maplink2</v>
      </c>
      <c r="AV343" s="20" t="str">
        <f>HYPERLINK("http://www.bing.com/maps/?lvl=14&amp;sty=h&amp;cp=35.519~44.2336&amp;sp=point.35.519_44.2336","Maplink3")</f>
        <v>Maplink3</v>
      </c>
    </row>
    <row r="344" spans="1:48" x14ac:dyDescent="0.25">
      <c r="A344" s="9">
        <v>14520</v>
      </c>
      <c r="B344" s="10" t="s">
        <v>16</v>
      </c>
      <c r="C344" s="10" t="s">
        <v>16</v>
      </c>
      <c r="D344" s="10" t="s">
        <v>671</v>
      </c>
      <c r="E344" s="10" t="s">
        <v>672</v>
      </c>
      <c r="F344" s="10">
        <v>35.479999999999997</v>
      </c>
      <c r="G344" s="10">
        <v>44.16</v>
      </c>
      <c r="H344" s="11">
        <v>120</v>
      </c>
      <c r="I344" s="11">
        <v>720</v>
      </c>
      <c r="J344" s="11"/>
      <c r="K344" s="11"/>
      <c r="L344" s="11"/>
      <c r="M344" s="11"/>
      <c r="N344" s="11"/>
      <c r="O344" s="11"/>
      <c r="P344" s="11"/>
      <c r="Q344" s="11"/>
      <c r="R344" s="11">
        <v>120</v>
      </c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>
        <v>100</v>
      </c>
      <c r="AD344" s="11">
        <v>20</v>
      </c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>
        <v>120</v>
      </c>
      <c r="AQ344" s="11"/>
      <c r="AR344" s="11"/>
      <c r="AS344" s="11"/>
      <c r="AT344" s="20" t="str">
        <f>HYPERLINK("http://www.openstreetmap.org/?mlat=35.48&amp;mlon=44.16&amp;zoom=12#map=12/35.48/44.16","Maplink1")</f>
        <v>Maplink1</v>
      </c>
      <c r="AU344" s="20" t="str">
        <f>HYPERLINK("https://www.google.iq/maps/search/+35.48,44.16/@35.48,44.16,14z?hl=en","Maplink2")</f>
        <v>Maplink2</v>
      </c>
      <c r="AV344" s="20" t="str">
        <f>HYPERLINK("http://www.bing.com/maps/?lvl=14&amp;sty=h&amp;cp=35.48~44.16&amp;sp=point.35.48_44.16","Maplink3")</f>
        <v>Maplink3</v>
      </c>
    </row>
    <row r="345" spans="1:48" x14ac:dyDescent="0.25">
      <c r="A345" s="9">
        <v>29483</v>
      </c>
      <c r="B345" s="10" t="s">
        <v>16</v>
      </c>
      <c r="C345" s="10" t="s">
        <v>16</v>
      </c>
      <c r="D345" s="10" t="s">
        <v>673</v>
      </c>
      <c r="E345" s="10" t="s">
        <v>674</v>
      </c>
      <c r="F345" s="10">
        <v>35.289000000000001</v>
      </c>
      <c r="G345" s="10">
        <v>44.74</v>
      </c>
      <c r="H345" s="11">
        <v>130</v>
      </c>
      <c r="I345" s="11">
        <v>780</v>
      </c>
      <c r="J345" s="11"/>
      <c r="K345" s="11"/>
      <c r="L345" s="11"/>
      <c r="M345" s="11"/>
      <c r="N345" s="11"/>
      <c r="O345" s="11"/>
      <c r="P345" s="11"/>
      <c r="Q345" s="11"/>
      <c r="R345" s="11">
        <v>130</v>
      </c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>
        <v>105</v>
      </c>
      <c r="AD345" s="11">
        <v>25</v>
      </c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>
        <v>130</v>
      </c>
      <c r="AQ345" s="11"/>
      <c r="AR345" s="11"/>
      <c r="AS345" s="11"/>
      <c r="AT345" s="20" t="str">
        <f>HYPERLINK("http://www.openstreetmap.org/?mlat=35.289&amp;mlon=44.74&amp;zoom=12#map=12/35.289/44.74","Maplink1")</f>
        <v>Maplink1</v>
      </c>
      <c r="AU345" s="20" t="str">
        <f>HYPERLINK("https://www.google.iq/maps/search/+35.289,44.74/@35.289,44.74,14z?hl=en","Maplink2")</f>
        <v>Maplink2</v>
      </c>
      <c r="AV345" s="20" t="str">
        <f>HYPERLINK("http://www.bing.com/maps/?lvl=14&amp;sty=h&amp;cp=35.289~44.74&amp;sp=point.35.289_44.74","Maplink3")</f>
        <v>Maplink3</v>
      </c>
    </row>
    <row r="346" spans="1:48" x14ac:dyDescent="0.25">
      <c r="A346" s="9">
        <v>17995</v>
      </c>
      <c r="B346" s="10" t="s">
        <v>20</v>
      </c>
      <c r="C346" s="10" t="s">
        <v>675</v>
      </c>
      <c r="D346" s="10" t="s">
        <v>1258</v>
      </c>
      <c r="E346" s="10" t="s">
        <v>1259</v>
      </c>
      <c r="F346" s="10">
        <v>36.025100000000002</v>
      </c>
      <c r="G346" s="10">
        <v>43.404400000000003</v>
      </c>
      <c r="H346" s="11">
        <v>237</v>
      </c>
      <c r="I346" s="11">
        <v>1422</v>
      </c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>
        <v>237</v>
      </c>
      <c r="W346" s="11"/>
      <c r="X346" s="11"/>
      <c r="Y346" s="11"/>
      <c r="Z346" s="11"/>
      <c r="AA346" s="11"/>
      <c r="AB346" s="11"/>
      <c r="AC346" s="11">
        <v>237</v>
      </c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>
        <v>237</v>
      </c>
      <c r="AT346" s="20" t="str">
        <f>HYPERLINK("http://www.openstreetmap.org/?mlat=36.0251&amp;mlon=43.4044&amp;zoom=12#map=12/36.0251/43.4044","Maplink1")</f>
        <v>Maplink1</v>
      </c>
      <c r="AU346" s="20" t="str">
        <f>HYPERLINK("https://www.google.iq/maps/search/+36.0251,43.4044/@36.0251,43.4044,14z?hl=en","Maplink2")</f>
        <v>Maplink2</v>
      </c>
      <c r="AV346" s="20" t="str">
        <f>HYPERLINK("http://www.bing.com/maps/?lvl=14&amp;sty=h&amp;cp=36.0251~43.4044&amp;sp=point.36.0251_43.4044","Maplink3")</f>
        <v>Maplink3</v>
      </c>
    </row>
    <row r="347" spans="1:48" x14ac:dyDescent="0.25">
      <c r="A347" s="9">
        <v>29643</v>
      </c>
      <c r="B347" s="10" t="s">
        <v>20</v>
      </c>
      <c r="C347" s="10" t="s">
        <v>675</v>
      </c>
      <c r="D347" s="10" t="s">
        <v>1260</v>
      </c>
      <c r="E347" s="10" t="s">
        <v>1261</v>
      </c>
      <c r="F347" s="10">
        <v>36.033499999999997</v>
      </c>
      <c r="G347" s="10">
        <v>43.435499999999998</v>
      </c>
      <c r="H347" s="11">
        <v>188</v>
      </c>
      <c r="I347" s="11">
        <v>1128</v>
      </c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>
        <v>188</v>
      </c>
      <c r="W347" s="11"/>
      <c r="X347" s="11"/>
      <c r="Y347" s="11"/>
      <c r="Z347" s="11"/>
      <c r="AA347" s="11"/>
      <c r="AB347" s="11"/>
      <c r="AC347" s="11">
        <v>188</v>
      </c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>
        <v>188</v>
      </c>
      <c r="AT347" s="20" t="str">
        <f>HYPERLINK("http://www.openstreetmap.org/?mlat=36.0335&amp;mlon=43.4355&amp;zoom=12#map=12/36.0335/43.4355","Maplink1")</f>
        <v>Maplink1</v>
      </c>
      <c r="AU347" s="20" t="str">
        <f>HYPERLINK("https://www.google.iq/maps/search/+36.0335,43.4355/@36.0335,43.4355,14z?hl=en","Maplink2")</f>
        <v>Maplink2</v>
      </c>
      <c r="AV347" s="20" t="str">
        <f>HYPERLINK("http://www.bing.com/maps/?lvl=14&amp;sty=h&amp;cp=36.0335~43.4355&amp;sp=point.36.0335_43.4355","Maplink3")</f>
        <v>Maplink3</v>
      </c>
    </row>
    <row r="348" spans="1:48" x14ac:dyDescent="0.25">
      <c r="A348" s="9">
        <v>29611</v>
      </c>
      <c r="B348" s="10" t="s">
        <v>20</v>
      </c>
      <c r="C348" s="10" t="s">
        <v>675</v>
      </c>
      <c r="D348" s="10" t="s">
        <v>676</v>
      </c>
      <c r="E348" s="10" t="s">
        <v>677</v>
      </c>
      <c r="F348" s="10">
        <v>36.209584999999997</v>
      </c>
      <c r="G348" s="10">
        <v>43.526522</v>
      </c>
      <c r="H348" s="11">
        <v>140</v>
      </c>
      <c r="I348" s="11">
        <v>840</v>
      </c>
      <c r="J348" s="11"/>
      <c r="K348" s="11"/>
      <c r="L348" s="11"/>
      <c r="M348" s="11"/>
      <c r="N348" s="11">
        <v>50</v>
      </c>
      <c r="O348" s="11"/>
      <c r="P348" s="11">
        <v>90</v>
      </c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>
        <v>140</v>
      </c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>
        <v>140</v>
      </c>
      <c r="AP348" s="11"/>
      <c r="AQ348" s="11"/>
      <c r="AR348" s="11"/>
      <c r="AS348" s="11"/>
      <c r="AT348" s="20" t="str">
        <f>HYPERLINK("http://www.openstreetmap.org/?mlat=36.2096&amp;mlon=43.5265&amp;zoom=12#map=12/36.2096/43.5265","Maplink1")</f>
        <v>Maplink1</v>
      </c>
      <c r="AU348" s="20" t="str">
        <f>HYPERLINK("https://www.google.iq/maps/search/+36.2096,43.5265/@36.2096,43.5265,14z?hl=en","Maplink2")</f>
        <v>Maplink2</v>
      </c>
      <c r="AV348" s="20" t="str">
        <f>HYPERLINK("http://www.bing.com/maps/?lvl=14&amp;sty=h&amp;cp=36.2096~43.5265&amp;sp=point.36.2096_43.5265","Maplink3")</f>
        <v>Maplink3</v>
      </c>
    </row>
    <row r="349" spans="1:48" x14ac:dyDescent="0.25">
      <c r="A349" s="9">
        <v>17375</v>
      </c>
      <c r="B349" s="10" t="s">
        <v>20</v>
      </c>
      <c r="C349" s="10" t="s">
        <v>675</v>
      </c>
      <c r="D349" s="10" t="s">
        <v>1262</v>
      </c>
      <c r="E349" s="10" t="s">
        <v>1263</v>
      </c>
      <c r="F349" s="10">
        <v>36.214646000000002</v>
      </c>
      <c r="G349" s="10">
        <v>43.449860000000001</v>
      </c>
      <c r="H349" s="11">
        <v>20</v>
      </c>
      <c r="I349" s="11">
        <v>120</v>
      </c>
      <c r="J349" s="11"/>
      <c r="K349" s="11"/>
      <c r="L349" s="11"/>
      <c r="M349" s="11"/>
      <c r="N349" s="11"/>
      <c r="O349" s="11"/>
      <c r="P349" s="11">
        <v>7</v>
      </c>
      <c r="Q349" s="11"/>
      <c r="R349" s="11"/>
      <c r="S349" s="11"/>
      <c r="T349" s="11"/>
      <c r="U349" s="11"/>
      <c r="V349" s="11">
        <v>13</v>
      </c>
      <c r="W349" s="11"/>
      <c r="X349" s="11"/>
      <c r="Y349" s="11"/>
      <c r="Z349" s="11"/>
      <c r="AA349" s="11"/>
      <c r="AB349" s="11"/>
      <c r="AC349" s="11">
        <v>20</v>
      </c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>
        <v>20</v>
      </c>
      <c r="AP349" s="11"/>
      <c r="AQ349" s="11"/>
      <c r="AR349" s="11"/>
      <c r="AS349" s="11"/>
      <c r="AT349" s="20" t="str">
        <f>HYPERLINK("http://www.openstreetmap.org/?mlat=36.2146&amp;mlon=43.4499&amp;zoom=12#map=12/36.2146/43.4499","Maplink1")</f>
        <v>Maplink1</v>
      </c>
      <c r="AU349" s="20" t="str">
        <f>HYPERLINK("https://www.google.iq/maps/search/+36.2146,43.4499/@36.2146,43.4499,14z?hl=en","Maplink2")</f>
        <v>Maplink2</v>
      </c>
      <c r="AV349" s="20" t="str">
        <f>HYPERLINK("http://www.bing.com/maps/?lvl=14&amp;sty=h&amp;cp=36.2146~43.4499&amp;sp=point.36.2146_43.4499","Maplink3")</f>
        <v>Maplink3</v>
      </c>
    </row>
    <row r="350" spans="1:48" x14ac:dyDescent="0.25">
      <c r="A350" s="9">
        <v>29684</v>
      </c>
      <c r="B350" s="10" t="s">
        <v>20</v>
      </c>
      <c r="C350" s="10" t="s">
        <v>675</v>
      </c>
      <c r="D350" s="10" t="s">
        <v>1264</v>
      </c>
      <c r="E350" s="10" t="s">
        <v>1265</v>
      </c>
      <c r="F350" s="10">
        <v>36.013193999999999</v>
      </c>
      <c r="G350" s="10">
        <v>43.377346000000003</v>
      </c>
      <c r="H350" s="11">
        <v>176</v>
      </c>
      <c r="I350" s="11">
        <v>1056</v>
      </c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>
        <v>176</v>
      </c>
      <c r="W350" s="11"/>
      <c r="X350" s="11"/>
      <c r="Y350" s="11"/>
      <c r="Z350" s="11"/>
      <c r="AA350" s="11"/>
      <c r="AB350" s="11"/>
      <c r="AC350" s="11">
        <v>176</v>
      </c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>
        <v>176</v>
      </c>
      <c r="AT350" s="20" t="str">
        <f>HYPERLINK("http://www.openstreetmap.org/?mlat=36.0132&amp;mlon=43.3773&amp;zoom=12#map=12/36.0132/43.3773","Maplink1")</f>
        <v>Maplink1</v>
      </c>
      <c r="AU350" s="20" t="str">
        <f>HYPERLINK("https://www.google.iq/maps/search/+36.0132,43.3773/@36.0132,43.3773,14z?hl=en","Maplink2")</f>
        <v>Maplink2</v>
      </c>
      <c r="AV350" s="20" t="str">
        <f>HYPERLINK("http://www.bing.com/maps/?lvl=14&amp;sty=h&amp;cp=36.0132~43.3773&amp;sp=point.36.0132_43.3773","Maplink3")</f>
        <v>Maplink3</v>
      </c>
    </row>
    <row r="351" spans="1:48" x14ac:dyDescent="0.25">
      <c r="A351" s="9">
        <v>29612</v>
      </c>
      <c r="B351" s="10" t="s">
        <v>20</v>
      </c>
      <c r="C351" s="10" t="s">
        <v>675</v>
      </c>
      <c r="D351" s="10" t="s">
        <v>678</v>
      </c>
      <c r="E351" s="10" t="s">
        <v>679</v>
      </c>
      <c r="F351" s="10">
        <v>36.192743999999998</v>
      </c>
      <c r="G351" s="10">
        <v>43.559347000000002</v>
      </c>
      <c r="H351" s="11">
        <v>141</v>
      </c>
      <c r="I351" s="11">
        <v>846</v>
      </c>
      <c r="J351" s="11"/>
      <c r="K351" s="11"/>
      <c r="L351" s="11"/>
      <c r="M351" s="11"/>
      <c r="N351" s="11">
        <v>30</v>
      </c>
      <c r="O351" s="11"/>
      <c r="P351" s="11">
        <v>103</v>
      </c>
      <c r="Q351" s="11"/>
      <c r="R351" s="11">
        <v>7</v>
      </c>
      <c r="S351" s="11"/>
      <c r="T351" s="11"/>
      <c r="U351" s="11"/>
      <c r="V351" s="11">
        <v>1</v>
      </c>
      <c r="W351" s="11"/>
      <c r="X351" s="11"/>
      <c r="Y351" s="11"/>
      <c r="Z351" s="11"/>
      <c r="AA351" s="11"/>
      <c r="AB351" s="11"/>
      <c r="AC351" s="11">
        <v>141</v>
      </c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>
        <v>141</v>
      </c>
      <c r="AP351" s="11"/>
      <c r="AQ351" s="11"/>
      <c r="AR351" s="11"/>
      <c r="AS351" s="11"/>
      <c r="AT351" s="20" t="str">
        <f>HYPERLINK("http://www.openstreetmap.org/?mlat=36.1927&amp;mlon=43.5593&amp;zoom=12#map=12/36.1927/43.5593","Maplink1")</f>
        <v>Maplink1</v>
      </c>
      <c r="AU351" s="20" t="str">
        <f>HYPERLINK("https://www.google.iq/maps/search/+36.1927,43.5593/@36.1927,43.5593,14z?hl=en","Maplink2")</f>
        <v>Maplink2</v>
      </c>
      <c r="AV351" s="20" t="str">
        <f>HYPERLINK("http://www.bing.com/maps/?lvl=14&amp;sty=h&amp;cp=36.1927~43.5593&amp;sp=point.36.1927_43.5593","Maplink3")</f>
        <v>Maplink3</v>
      </c>
    </row>
    <row r="352" spans="1:48" x14ac:dyDescent="0.25">
      <c r="A352" s="9">
        <v>17968</v>
      </c>
      <c r="B352" s="10" t="s">
        <v>20</v>
      </c>
      <c r="C352" s="10" t="s">
        <v>675</v>
      </c>
      <c r="D352" s="10" t="s">
        <v>1266</v>
      </c>
      <c r="E352" s="10" t="s">
        <v>1267</v>
      </c>
      <c r="F352" s="10">
        <v>36.193098999999997</v>
      </c>
      <c r="G352" s="10">
        <v>43.341918999999997</v>
      </c>
      <c r="H352" s="11">
        <v>95</v>
      </c>
      <c r="I352" s="11">
        <v>570</v>
      </c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>
        <v>95</v>
      </c>
      <c r="W352" s="11"/>
      <c r="X352" s="11"/>
      <c r="Y352" s="11"/>
      <c r="Z352" s="11"/>
      <c r="AA352" s="11"/>
      <c r="AB352" s="11"/>
      <c r="AC352" s="11">
        <v>95</v>
      </c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>
        <v>95</v>
      </c>
      <c r="AT352" s="20" t="str">
        <f>HYPERLINK("http://www.openstreetmap.org/?mlat=36.1931&amp;mlon=43.3419&amp;zoom=12#map=12/36.1931/43.3419","Maplink1")</f>
        <v>Maplink1</v>
      </c>
      <c r="AU352" s="20" t="str">
        <f>HYPERLINK("https://www.google.iq/maps/search/+36.1931,43.3419/@36.1931,43.3419,14z?hl=en","Maplink2")</f>
        <v>Maplink2</v>
      </c>
      <c r="AV352" s="20" t="str">
        <f>HYPERLINK("http://www.bing.com/maps/?lvl=14&amp;sty=h&amp;cp=36.1931~43.3419&amp;sp=point.36.1931_43.3419","Maplink3")</f>
        <v>Maplink3</v>
      </c>
    </row>
    <row r="353" spans="1:48" x14ac:dyDescent="0.25">
      <c r="A353" s="9">
        <v>23410</v>
      </c>
      <c r="B353" s="10" t="s">
        <v>20</v>
      </c>
      <c r="C353" s="10" t="s">
        <v>675</v>
      </c>
      <c r="D353" s="10" t="s">
        <v>1268</v>
      </c>
      <c r="E353" s="10" t="s">
        <v>1269</v>
      </c>
      <c r="F353" s="10">
        <v>36.043146999999998</v>
      </c>
      <c r="G353" s="10">
        <v>43.339419999999997</v>
      </c>
      <c r="H353" s="11">
        <v>200</v>
      </c>
      <c r="I353" s="11">
        <v>1200</v>
      </c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>
        <v>200</v>
      </c>
      <c r="W353" s="11"/>
      <c r="X353" s="11"/>
      <c r="Y353" s="11"/>
      <c r="Z353" s="11"/>
      <c r="AA353" s="11"/>
      <c r="AB353" s="11"/>
      <c r="AC353" s="11">
        <v>200</v>
      </c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>
        <v>200</v>
      </c>
      <c r="AT353" s="20" t="str">
        <f>HYPERLINK("http://www.openstreetmap.org/?mlat=36.0431&amp;mlon=43.3394&amp;zoom=12#map=12/36.0431/43.3394","Maplink1")</f>
        <v>Maplink1</v>
      </c>
      <c r="AU353" s="20" t="str">
        <f>HYPERLINK("https://www.google.iq/maps/search/+36.0431,43.3394/@36.0431,43.3394,14z?hl=en","Maplink2")</f>
        <v>Maplink2</v>
      </c>
      <c r="AV353" s="20" t="str">
        <f>HYPERLINK("http://www.bing.com/maps/?lvl=14&amp;sty=h&amp;cp=36.0431~43.3394&amp;sp=point.36.0431_43.3394","Maplink3")</f>
        <v>Maplink3</v>
      </c>
    </row>
    <row r="354" spans="1:48" x14ac:dyDescent="0.25">
      <c r="A354" s="9">
        <v>29613</v>
      </c>
      <c r="B354" s="10" t="s">
        <v>20</v>
      </c>
      <c r="C354" s="10" t="s">
        <v>675</v>
      </c>
      <c r="D354" s="10" t="s">
        <v>680</v>
      </c>
      <c r="E354" s="10" t="s">
        <v>681</v>
      </c>
      <c r="F354" s="10">
        <v>36.208440000000003</v>
      </c>
      <c r="G354" s="10">
        <v>43.537964000000002</v>
      </c>
      <c r="H354" s="11">
        <v>230</v>
      </c>
      <c r="I354" s="11">
        <v>1380</v>
      </c>
      <c r="J354" s="11"/>
      <c r="K354" s="11"/>
      <c r="L354" s="11"/>
      <c r="M354" s="11"/>
      <c r="N354" s="11">
        <v>50</v>
      </c>
      <c r="O354" s="11"/>
      <c r="P354" s="11">
        <v>180</v>
      </c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>
        <v>230</v>
      </c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>
        <v>230</v>
      </c>
      <c r="AP354" s="11"/>
      <c r="AQ354" s="11"/>
      <c r="AR354" s="11"/>
      <c r="AS354" s="11"/>
      <c r="AT354" s="20" t="str">
        <f>HYPERLINK("http://www.openstreetmap.org/?mlat=36.2084&amp;mlon=43.538&amp;zoom=12#map=12/36.2084/43.538","Maplink1")</f>
        <v>Maplink1</v>
      </c>
      <c r="AU354" s="20" t="str">
        <f>HYPERLINK("https://www.google.iq/maps/search/+36.2084,43.538/@36.2084,43.538,14z?hl=en","Maplink2")</f>
        <v>Maplink2</v>
      </c>
      <c r="AV354" s="20" t="str">
        <f>HYPERLINK("http://www.bing.com/maps/?lvl=14&amp;sty=h&amp;cp=36.2084~43.538&amp;sp=point.36.2084_43.538","Maplink3")</f>
        <v>Maplink3</v>
      </c>
    </row>
    <row r="355" spans="1:48" x14ac:dyDescent="0.25">
      <c r="A355" s="9">
        <v>17366</v>
      </c>
      <c r="B355" s="10" t="s">
        <v>20</v>
      </c>
      <c r="C355" s="10" t="s">
        <v>675</v>
      </c>
      <c r="D355" s="10" t="s">
        <v>682</v>
      </c>
      <c r="E355" s="10" t="s">
        <v>683</v>
      </c>
      <c r="F355" s="10">
        <v>36.183857000000003</v>
      </c>
      <c r="G355" s="10">
        <v>43.538722999999997</v>
      </c>
      <c r="H355" s="11">
        <v>240</v>
      </c>
      <c r="I355" s="11">
        <v>1440</v>
      </c>
      <c r="J355" s="11"/>
      <c r="K355" s="11"/>
      <c r="L355" s="11"/>
      <c r="M355" s="11"/>
      <c r="N355" s="11">
        <v>100</v>
      </c>
      <c r="O355" s="11"/>
      <c r="P355" s="11">
        <v>140</v>
      </c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>
        <v>240</v>
      </c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>
        <v>240</v>
      </c>
      <c r="AP355" s="11"/>
      <c r="AQ355" s="11"/>
      <c r="AR355" s="11"/>
      <c r="AS355" s="11"/>
      <c r="AT355" s="20" t="str">
        <f>HYPERLINK("http://www.openstreetmap.org/?mlat=36.1839&amp;mlon=43.5387&amp;zoom=12#map=12/36.1839/43.5387","Maplink1")</f>
        <v>Maplink1</v>
      </c>
      <c r="AU355" s="20" t="str">
        <f>HYPERLINK("https://www.google.iq/maps/search/+36.1839,43.5387/@36.1839,43.5387,14z?hl=en","Maplink2")</f>
        <v>Maplink2</v>
      </c>
      <c r="AV355" s="20" t="str">
        <f>HYPERLINK("http://www.bing.com/maps/?lvl=14&amp;sty=h&amp;cp=36.1839~43.5387&amp;sp=point.36.1839_43.5387","Maplink3")</f>
        <v>Maplink3</v>
      </c>
    </row>
    <row r="356" spans="1:48" x14ac:dyDescent="0.25">
      <c r="A356" s="9">
        <v>22215</v>
      </c>
      <c r="B356" s="10" t="s">
        <v>20</v>
      </c>
      <c r="C356" s="10" t="s">
        <v>684</v>
      </c>
      <c r="D356" s="10" t="s">
        <v>685</v>
      </c>
      <c r="E356" s="10" t="s">
        <v>686</v>
      </c>
      <c r="F356" s="10">
        <v>36.411999999999999</v>
      </c>
      <c r="G356" s="10">
        <v>43.317500000000003</v>
      </c>
      <c r="H356" s="11">
        <v>280</v>
      </c>
      <c r="I356" s="11">
        <v>1680</v>
      </c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>
        <v>280</v>
      </c>
      <c r="W356" s="11"/>
      <c r="X356" s="11"/>
      <c r="Y356" s="11"/>
      <c r="Z356" s="11"/>
      <c r="AA356" s="11"/>
      <c r="AB356" s="11"/>
      <c r="AC356" s="11">
        <v>280</v>
      </c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>
        <v>280</v>
      </c>
      <c r="AT356" s="20" t="str">
        <f>HYPERLINK("http://www.openstreetmap.org/?mlat=36.412&amp;mlon=43.3175&amp;zoom=12#map=12/36.412/43.3175","Maplink1")</f>
        <v>Maplink1</v>
      </c>
      <c r="AU356" s="20" t="str">
        <f>HYPERLINK("https://www.google.iq/maps/search/+36.412,43.3175/@36.412,43.3175,14z?hl=en","Maplink2")</f>
        <v>Maplink2</v>
      </c>
      <c r="AV356" s="20" t="str">
        <f>HYPERLINK("http://www.bing.com/maps/?lvl=14&amp;sty=h&amp;cp=36.412~43.3175&amp;sp=point.36.412_43.3175","Maplink3")</f>
        <v>Maplink3</v>
      </c>
    </row>
    <row r="357" spans="1:48" x14ac:dyDescent="0.25">
      <c r="A357" s="9">
        <v>25812</v>
      </c>
      <c r="B357" s="10" t="s">
        <v>20</v>
      </c>
      <c r="C357" s="10" t="s">
        <v>684</v>
      </c>
      <c r="D357" s="10" t="s">
        <v>687</v>
      </c>
      <c r="E357" s="10" t="s">
        <v>688</v>
      </c>
      <c r="F357" s="10">
        <v>36.472342210000001</v>
      </c>
      <c r="G357" s="10">
        <v>43.435678600000003</v>
      </c>
      <c r="H357" s="11">
        <v>17</v>
      </c>
      <c r="I357" s="11">
        <v>102</v>
      </c>
      <c r="J357" s="11"/>
      <c r="K357" s="11"/>
      <c r="L357" s="11"/>
      <c r="M357" s="11"/>
      <c r="N357" s="11">
        <v>17</v>
      </c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>
        <v>17</v>
      </c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>
        <v>17</v>
      </c>
      <c r="AP357" s="11"/>
      <c r="AQ357" s="11"/>
      <c r="AR357" s="11"/>
      <c r="AS357" s="11"/>
      <c r="AT357" s="20" t="str">
        <f>HYPERLINK("http://www.openstreetmap.org/?mlat=36.4723&amp;mlon=43.4357&amp;zoom=12#map=12/36.4723/43.4357","Maplink1")</f>
        <v>Maplink1</v>
      </c>
      <c r="AU357" s="20" t="str">
        <f>HYPERLINK("https://www.google.iq/maps/search/+36.4723,43.4357/@36.4723,43.4357,14z?hl=en","Maplink2")</f>
        <v>Maplink2</v>
      </c>
      <c r="AV357" s="20" t="str">
        <f>HYPERLINK("http://www.bing.com/maps/?lvl=14&amp;sty=h&amp;cp=36.4723~43.4357&amp;sp=point.36.4723_43.4357","Maplink3")</f>
        <v>Maplink3</v>
      </c>
    </row>
    <row r="358" spans="1:48" x14ac:dyDescent="0.25">
      <c r="A358" s="9">
        <v>17515</v>
      </c>
      <c r="B358" s="10" t="s">
        <v>20</v>
      </c>
      <c r="C358" s="10" t="s">
        <v>684</v>
      </c>
      <c r="D358" s="10" t="s">
        <v>689</v>
      </c>
      <c r="E358" s="10" t="s">
        <v>690</v>
      </c>
      <c r="F358" s="10">
        <v>35.738433000000001</v>
      </c>
      <c r="G358" s="10">
        <v>43.313799000000003</v>
      </c>
      <c r="H358" s="11">
        <v>4476</v>
      </c>
      <c r="I358" s="11">
        <v>26856</v>
      </c>
      <c r="J358" s="11"/>
      <c r="K358" s="11"/>
      <c r="L358" s="11"/>
      <c r="M358" s="11"/>
      <c r="N358" s="11"/>
      <c r="O358" s="11"/>
      <c r="P358" s="11">
        <v>4102</v>
      </c>
      <c r="Q358" s="11"/>
      <c r="R358" s="11">
        <v>374</v>
      </c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>
        <v>4436</v>
      </c>
      <c r="AD358" s="11"/>
      <c r="AE358" s="11"/>
      <c r="AF358" s="11"/>
      <c r="AG358" s="11">
        <v>40</v>
      </c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>
        <v>4476</v>
      </c>
      <c r="AS358" s="11"/>
      <c r="AT358" s="20" t="str">
        <f>HYPERLINK("http://www.openstreetmap.org/?mlat=35.7384&amp;mlon=43.3138&amp;zoom=12#map=12/35.7384/43.3138","Maplink1")</f>
        <v>Maplink1</v>
      </c>
      <c r="AU358" s="20" t="str">
        <f>HYPERLINK("https://www.google.iq/maps/search/+35.7384,43.3138/@35.7384,43.3138,14z?hl=en","Maplink2")</f>
        <v>Maplink2</v>
      </c>
      <c r="AV358" s="20" t="str">
        <f>HYPERLINK("http://www.bing.com/maps/?lvl=14&amp;sty=h&amp;cp=35.7384~43.3138&amp;sp=point.35.7384_43.3138","Maplink3")</f>
        <v>Maplink3</v>
      </c>
    </row>
    <row r="359" spans="1:48" x14ac:dyDescent="0.25">
      <c r="A359" s="9">
        <v>24146</v>
      </c>
      <c r="B359" s="10" t="s">
        <v>20</v>
      </c>
      <c r="C359" s="10" t="s">
        <v>684</v>
      </c>
      <c r="D359" s="10" t="s">
        <v>1234</v>
      </c>
      <c r="E359" s="10" t="s">
        <v>1235</v>
      </c>
      <c r="F359" s="10">
        <v>36.465271000000001</v>
      </c>
      <c r="G359" s="10">
        <v>43.250424000000002</v>
      </c>
      <c r="H359" s="11">
        <v>53</v>
      </c>
      <c r="I359" s="11">
        <v>318</v>
      </c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>
        <v>53</v>
      </c>
      <c r="W359" s="11"/>
      <c r="X359" s="11"/>
      <c r="Y359" s="11"/>
      <c r="Z359" s="11"/>
      <c r="AA359" s="11"/>
      <c r="AB359" s="11"/>
      <c r="AC359" s="11">
        <v>53</v>
      </c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>
        <v>53</v>
      </c>
      <c r="AT359" s="20" t="str">
        <f>HYPERLINK("http://www.openstreetmap.org/?mlat=36.4653&amp;mlon=43.2504&amp;zoom=12#map=12/36.4653/43.2504","Maplink1")</f>
        <v>Maplink1</v>
      </c>
      <c r="AU359" s="20" t="str">
        <f>HYPERLINK("https://www.google.iq/maps/search/+36.4653,43.2504/@36.4653,43.2504,14z?hl=en","Maplink2")</f>
        <v>Maplink2</v>
      </c>
      <c r="AV359" s="20" t="str">
        <f>HYPERLINK("http://www.bing.com/maps/?lvl=14&amp;sty=h&amp;cp=36.4653~43.2504&amp;sp=point.36.4653_43.2504","Maplink3")</f>
        <v>Maplink3</v>
      </c>
    </row>
    <row r="360" spans="1:48" x14ac:dyDescent="0.25">
      <c r="A360" s="9">
        <v>25811</v>
      </c>
      <c r="B360" s="10" t="s">
        <v>20</v>
      </c>
      <c r="C360" s="10" t="s">
        <v>684</v>
      </c>
      <c r="D360" s="10" t="s">
        <v>691</v>
      </c>
      <c r="E360" s="10" t="s">
        <v>692</v>
      </c>
      <c r="F360" s="10">
        <v>36.486525200000003</v>
      </c>
      <c r="G360" s="10">
        <v>43.429712899999998</v>
      </c>
      <c r="H360" s="11">
        <v>14</v>
      </c>
      <c r="I360" s="11">
        <v>84</v>
      </c>
      <c r="J360" s="11"/>
      <c r="K360" s="11"/>
      <c r="L360" s="11"/>
      <c r="M360" s="11"/>
      <c r="N360" s="11">
        <v>4</v>
      </c>
      <c r="O360" s="11"/>
      <c r="P360" s="11">
        <v>10</v>
      </c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>
        <v>14</v>
      </c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>
        <v>14</v>
      </c>
      <c r="AP360" s="11"/>
      <c r="AQ360" s="11"/>
      <c r="AR360" s="11"/>
      <c r="AS360" s="11"/>
      <c r="AT360" s="20" t="str">
        <f>HYPERLINK("http://www.openstreetmap.org/?mlat=36.4865&amp;mlon=43.4297&amp;zoom=12#map=12/36.4865/43.4297","Maplink1")</f>
        <v>Maplink1</v>
      </c>
      <c r="AU360" s="20" t="str">
        <f>HYPERLINK("https://www.google.iq/maps/search/+36.4865,43.4297/@36.4865,43.4297,14z?hl=en","Maplink2")</f>
        <v>Maplink2</v>
      </c>
      <c r="AV360" s="20" t="str">
        <f>HYPERLINK("http://www.bing.com/maps/?lvl=14&amp;sty=h&amp;cp=36.4865~43.4297&amp;sp=point.36.4865_43.4297","Maplink3")</f>
        <v>Maplink3</v>
      </c>
    </row>
    <row r="361" spans="1:48" x14ac:dyDescent="0.25">
      <c r="A361" s="9">
        <v>17744</v>
      </c>
      <c r="B361" s="10" t="s">
        <v>20</v>
      </c>
      <c r="C361" s="10" t="s">
        <v>684</v>
      </c>
      <c r="D361" s="10" t="s">
        <v>693</v>
      </c>
      <c r="E361" s="10" t="s">
        <v>694</v>
      </c>
      <c r="F361" s="10">
        <v>35.783900000000003</v>
      </c>
      <c r="G361" s="10">
        <v>43.309699999999999</v>
      </c>
      <c r="H361" s="11">
        <v>48</v>
      </c>
      <c r="I361" s="11">
        <v>288</v>
      </c>
      <c r="J361" s="11"/>
      <c r="K361" s="11"/>
      <c r="L361" s="11"/>
      <c r="M361" s="11"/>
      <c r="N361" s="11"/>
      <c r="O361" s="11"/>
      <c r="P361" s="11">
        <v>48</v>
      </c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>
        <v>48</v>
      </c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>
        <v>48</v>
      </c>
      <c r="AS361" s="11"/>
      <c r="AT361" s="20" t="str">
        <f>HYPERLINK("http://www.openstreetmap.org/?mlat=35.7839&amp;mlon=43.3097&amp;zoom=12#map=12/35.7839/43.3097","Maplink1")</f>
        <v>Maplink1</v>
      </c>
      <c r="AU361" s="20" t="str">
        <f>HYPERLINK("https://www.google.iq/maps/search/+35.7839,43.3097/@35.7839,43.3097,14z?hl=en","Maplink2")</f>
        <v>Maplink2</v>
      </c>
      <c r="AV361" s="20" t="str">
        <f>HYPERLINK("http://www.bing.com/maps/?lvl=14&amp;sty=h&amp;cp=35.7839~43.3097&amp;sp=point.35.7839_43.3097","Maplink3")</f>
        <v>Maplink3</v>
      </c>
    </row>
    <row r="362" spans="1:48" x14ac:dyDescent="0.25">
      <c r="A362" s="9">
        <v>18337</v>
      </c>
      <c r="B362" s="10" t="s">
        <v>20</v>
      </c>
      <c r="C362" s="10" t="s">
        <v>684</v>
      </c>
      <c r="D362" s="10" t="s">
        <v>1270</v>
      </c>
      <c r="E362" s="10" t="s">
        <v>1271</v>
      </c>
      <c r="F362" s="10">
        <v>36.387934000000001</v>
      </c>
      <c r="G362" s="10">
        <v>43.178249000000001</v>
      </c>
      <c r="H362" s="11">
        <v>2</v>
      </c>
      <c r="I362" s="11">
        <v>12</v>
      </c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>
        <v>2</v>
      </c>
      <c r="W362" s="11"/>
      <c r="X362" s="11"/>
      <c r="Y362" s="11"/>
      <c r="Z362" s="11"/>
      <c r="AA362" s="11"/>
      <c r="AB362" s="11"/>
      <c r="AC362" s="11">
        <v>2</v>
      </c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>
        <v>2</v>
      </c>
      <c r="AT362" s="20" t="str">
        <f>HYPERLINK("http://www.openstreetmap.org/?mlat=36.3879&amp;mlon=43.1782&amp;zoom=12#map=12/36.3879/43.1782","Maplink1")</f>
        <v>Maplink1</v>
      </c>
      <c r="AU362" s="20" t="str">
        <f>HYPERLINK("https://www.google.iq/maps/search/+36.3879,43.1782/@36.3879,43.1782,14z?hl=en","Maplink2")</f>
        <v>Maplink2</v>
      </c>
      <c r="AV362" s="20" t="str">
        <f>HYPERLINK("http://www.bing.com/maps/?lvl=14&amp;sty=h&amp;cp=36.3879~43.1782&amp;sp=point.36.3879_43.1782","Maplink3")</f>
        <v>Maplink3</v>
      </c>
    </row>
    <row r="363" spans="1:48" x14ac:dyDescent="0.25">
      <c r="A363" s="9">
        <v>29663</v>
      </c>
      <c r="B363" s="10" t="s">
        <v>20</v>
      </c>
      <c r="C363" s="10" t="s">
        <v>684</v>
      </c>
      <c r="D363" s="10" t="s">
        <v>695</v>
      </c>
      <c r="E363" s="10" t="s">
        <v>696</v>
      </c>
      <c r="F363" s="10">
        <v>35.740499999999997</v>
      </c>
      <c r="G363" s="10">
        <v>43.274000000000001</v>
      </c>
      <c r="H363" s="11">
        <v>160</v>
      </c>
      <c r="I363" s="11">
        <v>960</v>
      </c>
      <c r="J363" s="11"/>
      <c r="K363" s="11"/>
      <c r="L363" s="11"/>
      <c r="M363" s="11"/>
      <c r="N363" s="11"/>
      <c r="O363" s="11"/>
      <c r="P363" s="11">
        <v>160</v>
      </c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>
        <v>160</v>
      </c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>
        <v>160</v>
      </c>
      <c r="AS363" s="11"/>
      <c r="AT363" s="20" t="str">
        <f>HYPERLINK("http://www.openstreetmap.org/?mlat=35.7405&amp;mlon=43.274&amp;zoom=12#map=12/35.7405/43.274","Maplink1")</f>
        <v>Maplink1</v>
      </c>
      <c r="AU363" s="20" t="str">
        <f>HYPERLINK("https://www.google.iq/maps/search/+35.7405,43.274/@35.7405,43.274,14z?hl=en","Maplink2")</f>
        <v>Maplink2</v>
      </c>
      <c r="AV363" s="20" t="str">
        <f>HYPERLINK("http://www.bing.com/maps/?lvl=14&amp;sty=h&amp;cp=35.7405~43.274&amp;sp=point.35.7405_43.274","Maplink3")</f>
        <v>Maplink3</v>
      </c>
    </row>
    <row r="364" spans="1:48" x14ac:dyDescent="0.25">
      <c r="A364" s="9">
        <v>18339</v>
      </c>
      <c r="B364" s="10" t="s">
        <v>20</v>
      </c>
      <c r="C364" s="10" t="s">
        <v>684</v>
      </c>
      <c r="D364" s="10" t="s">
        <v>1272</v>
      </c>
      <c r="E364" s="10" t="s">
        <v>1273</v>
      </c>
      <c r="F364" s="10">
        <v>36.348815999999999</v>
      </c>
      <c r="G364" s="10">
        <v>43.223954999999997</v>
      </c>
      <c r="H364" s="11">
        <v>191</v>
      </c>
      <c r="I364" s="11">
        <v>1146</v>
      </c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>
        <v>191</v>
      </c>
      <c r="W364" s="11"/>
      <c r="X364" s="11"/>
      <c r="Y364" s="11"/>
      <c r="Z364" s="11"/>
      <c r="AA364" s="11"/>
      <c r="AB364" s="11"/>
      <c r="AC364" s="11">
        <v>191</v>
      </c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>
        <v>191</v>
      </c>
      <c r="AT364" s="20" t="str">
        <f>HYPERLINK("http://www.openstreetmap.org/?mlat=36.3488&amp;mlon=43.224&amp;zoom=12#map=12/36.3488/43.224","Maplink1")</f>
        <v>Maplink1</v>
      </c>
      <c r="AU364" s="20" t="str">
        <f>HYPERLINK("https://www.google.iq/maps/search/+36.3488,43.224/@36.3488,43.224,14z?hl=en","Maplink2")</f>
        <v>Maplink2</v>
      </c>
      <c r="AV364" s="20" t="str">
        <f>HYPERLINK("http://www.bing.com/maps/?lvl=14&amp;sty=h&amp;cp=36.3488~43.224&amp;sp=point.36.3488_43.224","Maplink3")</f>
        <v>Maplink3</v>
      </c>
    </row>
    <row r="365" spans="1:48" x14ac:dyDescent="0.25">
      <c r="A365" s="9">
        <v>29683</v>
      </c>
      <c r="B365" s="10" t="s">
        <v>20</v>
      </c>
      <c r="C365" s="10" t="s">
        <v>684</v>
      </c>
      <c r="D365" s="10" t="s">
        <v>1274</v>
      </c>
      <c r="E365" s="10" t="s">
        <v>1275</v>
      </c>
      <c r="F365" s="10">
        <v>36.469630000000002</v>
      </c>
      <c r="G365" s="10">
        <v>43.226260000000003</v>
      </c>
      <c r="H365" s="11">
        <v>82</v>
      </c>
      <c r="I365" s="11">
        <v>492</v>
      </c>
      <c r="J365" s="11"/>
      <c r="K365" s="11"/>
      <c r="L365" s="11"/>
      <c r="M365" s="11"/>
      <c r="N365" s="11">
        <v>70</v>
      </c>
      <c r="O365" s="11"/>
      <c r="P365" s="11"/>
      <c r="Q365" s="11"/>
      <c r="R365" s="11"/>
      <c r="S365" s="11"/>
      <c r="T365" s="11"/>
      <c r="U365" s="11"/>
      <c r="V365" s="11">
        <v>12</v>
      </c>
      <c r="W365" s="11"/>
      <c r="X365" s="11"/>
      <c r="Y365" s="11"/>
      <c r="Z365" s="11"/>
      <c r="AA365" s="11"/>
      <c r="AB365" s="11"/>
      <c r="AC365" s="11">
        <v>82</v>
      </c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>
        <v>70</v>
      </c>
      <c r="AP365" s="11"/>
      <c r="AQ365" s="11"/>
      <c r="AR365" s="11"/>
      <c r="AS365" s="11">
        <v>12</v>
      </c>
      <c r="AT365" s="20" t="str">
        <f>HYPERLINK("http://www.openstreetmap.org/?mlat=36.4696&amp;mlon=43.2263&amp;zoom=12#map=12/36.4696/43.2263","Maplink1")</f>
        <v>Maplink1</v>
      </c>
      <c r="AU365" s="20" t="str">
        <f>HYPERLINK("https://www.google.iq/maps/search/+36.4696,43.2263/@36.4696,43.2263,14z?hl=en","Maplink2")</f>
        <v>Maplink2</v>
      </c>
      <c r="AV365" s="20" t="str">
        <f>HYPERLINK("http://www.bing.com/maps/?lvl=14&amp;sty=h&amp;cp=36.4696~43.2263&amp;sp=point.36.4696_43.2263","Maplink3")</f>
        <v>Maplink3</v>
      </c>
    </row>
    <row r="366" spans="1:48" x14ac:dyDescent="0.25">
      <c r="A366" s="9">
        <v>18366</v>
      </c>
      <c r="B366" s="10" t="s">
        <v>20</v>
      </c>
      <c r="C366" s="10" t="s">
        <v>684</v>
      </c>
      <c r="D366" s="10" t="s">
        <v>1276</v>
      </c>
      <c r="E366" s="10" t="s">
        <v>1277</v>
      </c>
      <c r="F366" s="10">
        <v>36.396299999999997</v>
      </c>
      <c r="G366" s="10">
        <v>43.192599999999999</v>
      </c>
      <c r="H366" s="11">
        <v>20</v>
      </c>
      <c r="I366" s="11">
        <v>120</v>
      </c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>
        <v>20</v>
      </c>
      <c r="W366" s="11"/>
      <c r="X366" s="11"/>
      <c r="Y366" s="11"/>
      <c r="Z366" s="11"/>
      <c r="AA366" s="11"/>
      <c r="AB366" s="11"/>
      <c r="AC366" s="11">
        <v>20</v>
      </c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>
        <v>20</v>
      </c>
      <c r="AT366" s="20" t="str">
        <f>HYPERLINK("http://www.openstreetmap.org/?mlat=36.3963&amp;mlon=43.1926&amp;zoom=12#map=12/36.3963/43.1926","Maplink1")</f>
        <v>Maplink1</v>
      </c>
      <c r="AU366" s="20" t="str">
        <f>HYPERLINK("https://www.google.iq/maps/search/+36.3963,43.1926/@36.3963,43.1926,14z?hl=en","Maplink2")</f>
        <v>Maplink2</v>
      </c>
      <c r="AV366" s="20" t="str">
        <f>HYPERLINK("http://www.bing.com/maps/?lvl=14&amp;sty=h&amp;cp=36.3963~43.1926&amp;sp=point.36.3963_43.1926","Maplink3")</f>
        <v>Maplink3</v>
      </c>
    </row>
    <row r="367" spans="1:48" x14ac:dyDescent="0.25">
      <c r="A367" s="9">
        <v>17127</v>
      </c>
      <c r="B367" s="10" t="s">
        <v>20</v>
      </c>
      <c r="C367" s="10" t="s">
        <v>684</v>
      </c>
      <c r="D367" s="10" t="s">
        <v>697</v>
      </c>
      <c r="E367" s="10" t="s">
        <v>698</v>
      </c>
      <c r="F367" s="10">
        <v>35.797600000000003</v>
      </c>
      <c r="G367" s="10">
        <v>43.293199999999999</v>
      </c>
      <c r="H367" s="11">
        <v>175</v>
      </c>
      <c r="I367" s="11">
        <v>1050</v>
      </c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>
        <v>175</v>
      </c>
      <c r="W367" s="11"/>
      <c r="X367" s="11"/>
      <c r="Y367" s="11"/>
      <c r="Z367" s="11"/>
      <c r="AA367" s="11"/>
      <c r="AB367" s="11"/>
      <c r="AC367" s="11">
        <v>175</v>
      </c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>
        <v>175</v>
      </c>
      <c r="AT367" s="20" t="str">
        <f>HYPERLINK("http://www.openstreetmap.org/?mlat=35.7976&amp;mlon=43.2932&amp;zoom=12#map=12/35.7976/43.2932","Maplink1")</f>
        <v>Maplink1</v>
      </c>
      <c r="AU367" s="20" t="str">
        <f>HYPERLINK("https://www.google.iq/maps/search/+35.7976,43.2932/@35.7976,43.2932,14z?hl=en","Maplink2")</f>
        <v>Maplink2</v>
      </c>
      <c r="AV367" s="20" t="str">
        <f>HYPERLINK("http://www.bing.com/maps/?lvl=14&amp;sty=h&amp;cp=35.7976~43.2932&amp;sp=point.35.7976_43.2932","Maplink3")</f>
        <v>Maplink3</v>
      </c>
    </row>
    <row r="368" spans="1:48" x14ac:dyDescent="0.25">
      <c r="A368" s="9">
        <v>18053</v>
      </c>
      <c r="B368" s="10" t="s">
        <v>20</v>
      </c>
      <c r="C368" s="10" t="s">
        <v>684</v>
      </c>
      <c r="D368" s="10" t="s">
        <v>699</v>
      </c>
      <c r="E368" s="10" t="s">
        <v>700</v>
      </c>
      <c r="F368" s="10">
        <v>35.878999999999998</v>
      </c>
      <c r="G368" s="10">
        <v>43.341500000000003</v>
      </c>
      <c r="H368" s="11">
        <v>100</v>
      </c>
      <c r="I368" s="11">
        <v>600</v>
      </c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>
        <v>100</v>
      </c>
      <c r="W368" s="11"/>
      <c r="X368" s="11"/>
      <c r="Y368" s="11"/>
      <c r="Z368" s="11"/>
      <c r="AA368" s="11"/>
      <c r="AB368" s="11"/>
      <c r="AC368" s="11">
        <v>100</v>
      </c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>
        <v>100</v>
      </c>
      <c r="AT368" s="20" t="str">
        <f>HYPERLINK("http://www.openstreetmap.org/?mlat=35.879&amp;mlon=43.3415&amp;zoom=12#map=12/35.879/43.3415","Maplink1")</f>
        <v>Maplink1</v>
      </c>
      <c r="AU368" s="20" t="str">
        <f>HYPERLINK("https://www.google.iq/maps/search/+35.879,43.3415/@35.879,43.3415,14z?hl=en","Maplink2")</f>
        <v>Maplink2</v>
      </c>
      <c r="AV368" s="20" t="str">
        <f>HYPERLINK("http://www.bing.com/maps/?lvl=14&amp;sty=h&amp;cp=35.879~43.3415&amp;sp=point.35.879_43.3415","Maplink3")</f>
        <v>Maplink3</v>
      </c>
    </row>
    <row r="369" spans="1:48" x14ac:dyDescent="0.25">
      <c r="A369" s="9">
        <v>29667</v>
      </c>
      <c r="B369" s="10" t="s">
        <v>20</v>
      </c>
      <c r="C369" s="10" t="s">
        <v>684</v>
      </c>
      <c r="D369" s="10" t="s">
        <v>701</v>
      </c>
      <c r="E369" s="10" t="s">
        <v>702</v>
      </c>
      <c r="F369" s="10">
        <v>35.9086</v>
      </c>
      <c r="G369" s="10">
        <v>43.31803</v>
      </c>
      <c r="H369" s="11">
        <v>100</v>
      </c>
      <c r="I369" s="11">
        <v>600</v>
      </c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>
        <v>100</v>
      </c>
      <c r="W369" s="11"/>
      <c r="X369" s="11"/>
      <c r="Y369" s="11"/>
      <c r="Z369" s="11"/>
      <c r="AA369" s="11"/>
      <c r="AB369" s="11"/>
      <c r="AC369" s="11">
        <v>100</v>
      </c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>
        <v>100</v>
      </c>
      <c r="AT369" s="20" t="str">
        <f>HYPERLINK("http://www.openstreetmap.org/?mlat=35.9086&amp;mlon=43.318&amp;zoom=12#map=12/35.9086/43.318","Maplink1")</f>
        <v>Maplink1</v>
      </c>
      <c r="AU369" s="20" t="str">
        <f>HYPERLINK("https://www.google.iq/maps/search/+35.9086,43.318/@35.9086,43.318,14z?hl=en","Maplink2")</f>
        <v>Maplink2</v>
      </c>
      <c r="AV369" s="20" t="str">
        <f>HYPERLINK("http://www.bing.com/maps/?lvl=14&amp;sty=h&amp;cp=35.9086~43.318&amp;sp=point.35.9086_43.318","Maplink3")</f>
        <v>Maplink3</v>
      </c>
    </row>
    <row r="370" spans="1:48" x14ac:dyDescent="0.25">
      <c r="A370" s="9">
        <v>21607</v>
      </c>
      <c r="B370" s="10" t="s">
        <v>20</v>
      </c>
      <c r="C370" s="10" t="s">
        <v>684</v>
      </c>
      <c r="D370" s="10" t="s">
        <v>1236</v>
      </c>
      <c r="E370" s="10" t="s">
        <v>1237</v>
      </c>
      <c r="F370" s="10">
        <v>36.453094</v>
      </c>
      <c r="G370" s="10">
        <v>43.348266000000002</v>
      </c>
      <c r="H370" s="11">
        <v>40</v>
      </c>
      <c r="I370" s="11">
        <v>240</v>
      </c>
      <c r="J370" s="11"/>
      <c r="K370" s="11"/>
      <c r="L370" s="11"/>
      <c r="M370" s="11"/>
      <c r="N370" s="11">
        <v>40</v>
      </c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>
        <v>40</v>
      </c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>
        <v>40</v>
      </c>
      <c r="AP370" s="11"/>
      <c r="AQ370" s="11"/>
      <c r="AR370" s="11"/>
      <c r="AS370" s="11"/>
      <c r="AT370" s="20" t="str">
        <f>HYPERLINK("http://www.openstreetmap.org/?mlat=36.4531&amp;mlon=43.3483&amp;zoom=12#map=12/36.4531/43.3483","Maplink1")</f>
        <v>Maplink1</v>
      </c>
      <c r="AU370" s="20" t="str">
        <f>HYPERLINK("https://www.google.iq/maps/search/+36.4531,43.3483/@36.4531,43.3483,14z?hl=en","Maplink2")</f>
        <v>Maplink2</v>
      </c>
      <c r="AV370" s="20" t="str">
        <f>HYPERLINK("http://www.bing.com/maps/?lvl=14&amp;sty=h&amp;cp=36.4531~43.3483&amp;sp=point.36.4531_43.3483","Maplink3")</f>
        <v>Maplink3</v>
      </c>
    </row>
    <row r="371" spans="1:48" x14ac:dyDescent="0.25">
      <c r="A371" s="9">
        <v>22652</v>
      </c>
      <c r="B371" s="10" t="s">
        <v>20</v>
      </c>
      <c r="C371" s="10" t="s">
        <v>684</v>
      </c>
      <c r="D371" s="10" t="s">
        <v>1238</v>
      </c>
      <c r="E371" s="10" t="s">
        <v>1239</v>
      </c>
      <c r="F371" s="10">
        <v>36.461762</v>
      </c>
      <c r="G371" s="10">
        <v>43.217936999999999</v>
      </c>
      <c r="H371" s="11">
        <v>77</v>
      </c>
      <c r="I371" s="11">
        <v>462</v>
      </c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>
        <v>77</v>
      </c>
      <c r="W371" s="11"/>
      <c r="X371" s="11"/>
      <c r="Y371" s="11"/>
      <c r="Z371" s="11"/>
      <c r="AA371" s="11"/>
      <c r="AB371" s="11"/>
      <c r="AC371" s="11">
        <v>77</v>
      </c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>
        <v>77</v>
      </c>
      <c r="AT371" s="20" t="str">
        <f>HYPERLINK("http://www.openstreetmap.org/?mlat=36.4618&amp;mlon=43.2179&amp;zoom=12#map=12/36.4618/43.2179","Maplink1")</f>
        <v>Maplink1</v>
      </c>
      <c r="AU371" s="20" t="str">
        <f>HYPERLINK("https://www.google.iq/maps/search/+36.4618,43.2179/@36.4618,43.2179,14z?hl=en","Maplink2")</f>
        <v>Maplink2</v>
      </c>
      <c r="AV371" s="20" t="str">
        <f>HYPERLINK("http://www.bing.com/maps/?lvl=14&amp;sty=h&amp;cp=36.4618~43.2179&amp;sp=point.36.4618_43.2179","Maplink3")</f>
        <v>Maplink3</v>
      </c>
    </row>
    <row r="372" spans="1:48" x14ac:dyDescent="0.25">
      <c r="A372" s="9">
        <v>17382</v>
      </c>
      <c r="B372" s="10" t="s">
        <v>20</v>
      </c>
      <c r="C372" s="10" t="s">
        <v>684</v>
      </c>
      <c r="D372" s="10" t="s">
        <v>1278</v>
      </c>
      <c r="E372" s="10" t="s">
        <v>1279</v>
      </c>
      <c r="F372" s="10">
        <v>36.368735000000001</v>
      </c>
      <c r="G372" s="10">
        <v>43.294915000000003</v>
      </c>
      <c r="H372" s="11">
        <v>17</v>
      </c>
      <c r="I372" s="11">
        <v>102</v>
      </c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>
        <v>17</v>
      </c>
      <c r="W372" s="11"/>
      <c r="X372" s="11"/>
      <c r="Y372" s="11"/>
      <c r="Z372" s="11"/>
      <c r="AA372" s="11"/>
      <c r="AB372" s="11"/>
      <c r="AC372" s="11">
        <v>17</v>
      </c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>
        <v>17</v>
      </c>
      <c r="AT372" s="20" t="str">
        <f>HYPERLINK("http://www.openstreetmap.org/?mlat=36.3687&amp;mlon=43.2949&amp;zoom=12#map=12/36.3687/43.2949","Maplink1")</f>
        <v>Maplink1</v>
      </c>
      <c r="AU372" s="20" t="str">
        <f>HYPERLINK("https://www.google.iq/maps/search/+36.3687,43.2949/@36.3687,43.2949,14z?hl=en","Maplink2")</f>
        <v>Maplink2</v>
      </c>
      <c r="AV372" s="20" t="str">
        <f>HYPERLINK("http://www.bing.com/maps/?lvl=14&amp;sty=h&amp;cp=36.3687~43.2949&amp;sp=point.36.3687_43.2949","Maplink3")</f>
        <v>Maplink3</v>
      </c>
    </row>
    <row r="373" spans="1:48" x14ac:dyDescent="0.25">
      <c r="A373" s="9">
        <v>22440</v>
      </c>
      <c r="B373" s="10" t="s">
        <v>20</v>
      </c>
      <c r="C373" s="10" t="s">
        <v>684</v>
      </c>
      <c r="D373" s="10" t="s">
        <v>703</v>
      </c>
      <c r="E373" s="10" t="s">
        <v>704</v>
      </c>
      <c r="F373" s="10">
        <v>36.491095999999999</v>
      </c>
      <c r="G373" s="10">
        <v>43.215800999999999</v>
      </c>
      <c r="H373" s="11">
        <v>62</v>
      </c>
      <c r="I373" s="11">
        <v>372</v>
      </c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>
        <v>62</v>
      </c>
      <c r="W373" s="11"/>
      <c r="X373" s="11"/>
      <c r="Y373" s="11"/>
      <c r="Z373" s="11"/>
      <c r="AA373" s="11"/>
      <c r="AB373" s="11"/>
      <c r="AC373" s="11">
        <v>62</v>
      </c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>
        <v>28</v>
      </c>
      <c r="AS373" s="11">
        <v>34</v>
      </c>
      <c r="AT373" s="20" t="str">
        <f>HYPERLINK("http://www.openstreetmap.org/?mlat=36.4911&amp;mlon=43.2158&amp;zoom=12#map=12/36.4911/43.2158","Maplink1")</f>
        <v>Maplink1</v>
      </c>
      <c r="AU373" s="20" t="str">
        <f>HYPERLINK("https://www.google.iq/maps/search/+36.4911,43.2158/@36.4911,43.2158,14z?hl=en","Maplink2")</f>
        <v>Maplink2</v>
      </c>
      <c r="AV373" s="20" t="str">
        <f>HYPERLINK("http://www.bing.com/maps/?lvl=14&amp;sty=h&amp;cp=36.4911~43.2158&amp;sp=point.36.4911_43.2158","Maplink3")</f>
        <v>Maplink3</v>
      </c>
    </row>
    <row r="374" spans="1:48" x14ac:dyDescent="0.25">
      <c r="A374" s="9">
        <v>17128</v>
      </c>
      <c r="B374" s="10" t="s">
        <v>20</v>
      </c>
      <c r="C374" s="10" t="s">
        <v>684</v>
      </c>
      <c r="D374" s="10" t="s">
        <v>1240</v>
      </c>
      <c r="E374" s="10" t="s">
        <v>705</v>
      </c>
      <c r="F374" s="10">
        <v>36.167099999999998</v>
      </c>
      <c r="G374" s="10">
        <v>43.257899999999999</v>
      </c>
      <c r="H374" s="11">
        <v>141</v>
      </c>
      <c r="I374" s="11">
        <v>846</v>
      </c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>
        <v>141</v>
      </c>
      <c r="W374" s="11"/>
      <c r="X374" s="11"/>
      <c r="Y374" s="11"/>
      <c r="Z374" s="11"/>
      <c r="AA374" s="11"/>
      <c r="AB374" s="11"/>
      <c r="AC374" s="11">
        <v>141</v>
      </c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>
        <v>141</v>
      </c>
      <c r="AT374" s="20" t="str">
        <f>HYPERLINK("http://www.openstreetmap.org/?mlat=36.1671&amp;mlon=43.2579&amp;zoom=12#map=12/36.1671/43.2579","Maplink1")</f>
        <v>Maplink1</v>
      </c>
      <c r="AU374" s="20" t="str">
        <f>HYPERLINK("https://www.google.iq/maps/search/+36.1671,43.2579/@36.1671,43.2579,14z?hl=en","Maplink2")</f>
        <v>Maplink2</v>
      </c>
      <c r="AV374" s="20" t="str">
        <f>HYPERLINK("http://www.bing.com/maps/?lvl=14&amp;sty=h&amp;cp=36.1671~43.2579&amp;sp=point.36.1671_43.2579","Maplink3")</f>
        <v>Maplink3</v>
      </c>
    </row>
    <row r="375" spans="1:48" x14ac:dyDescent="0.25">
      <c r="A375" s="9">
        <v>18306</v>
      </c>
      <c r="B375" s="10" t="s">
        <v>20</v>
      </c>
      <c r="C375" s="10" t="s">
        <v>684</v>
      </c>
      <c r="D375" s="10" t="s">
        <v>1280</v>
      </c>
      <c r="E375" s="10" t="s">
        <v>1281</v>
      </c>
      <c r="F375" s="10">
        <v>36.402900000000002</v>
      </c>
      <c r="G375" s="10">
        <v>43.121600000000001</v>
      </c>
      <c r="H375" s="11">
        <v>5</v>
      </c>
      <c r="I375" s="11">
        <v>30</v>
      </c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>
        <v>5</v>
      </c>
      <c r="W375" s="11"/>
      <c r="X375" s="11"/>
      <c r="Y375" s="11"/>
      <c r="Z375" s="11"/>
      <c r="AA375" s="11"/>
      <c r="AB375" s="11"/>
      <c r="AC375" s="11">
        <v>5</v>
      </c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>
        <v>5</v>
      </c>
      <c r="AT375" s="20" t="str">
        <f>HYPERLINK("http://www.openstreetmap.org/?mlat=36.4029&amp;mlon=43.1216&amp;zoom=12#map=12/36.4029/43.1216","Maplink1")</f>
        <v>Maplink1</v>
      </c>
      <c r="AU375" s="20" t="str">
        <f>HYPERLINK("https://www.google.iq/maps/search/+36.4029,43.1216/@36.4029,43.1216,14z?hl=en","Maplink2")</f>
        <v>Maplink2</v>
      </c>
      <c r="AV375" s="20" t="str">
        <f>HYPERLINK("http://www.bing.com/maps/?lvl=14&amp;sty=h&amp;cp=36.4029~43.1216&amp;sp=point.36.4029_43.1216","Maplink3")</f>
        <v>Maplink3</v>
      </c>
    </row>
    <row r="376" spans="1:48" x14ac:dyDescent="0.25">
      <c r="A376" s="9">
        <v>23933</v>
      </c>
      <c r="B376" s="10" t="s">
        <v>20</v>
      </c>
      <c r="C376" s="10" t="s">
        <v>684</v>
      </c>
      <c r="D376" s="10" t="s">
        <v>706</v>
      </c>
      <c r="E376" s="10" t="s">
        <v>707</v>
      </c>
      <c r="F376" s="10">
        <v>36.363736000000003</v>
      </c>
      <c r="G376" s="10">
        <v>43.218418999999997</v>
      </c>
      <c r="H376" s="11">
        <v>188</v>
      </c>
      <c r="I376" s="11">
        <v>1128</v>
      </c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>
        <v>188</v>
      </c>
      <c r="W376" s="11"/>
      <c r="X376" s="11"/>
      <c r="Y376" s="11"/>
      <c r="Z376" s="11"/>
      <c r="AA376" s="11"/>
      <c r="AB376" s="11"/>
      <c r="AC376" s="11">
        <v>188</v>
      </c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>
        <v>188</v>
      </c>
      <c r="AT376" s="20" t="str">
        <f>HYPERLINK("http://www.openstreetmap.org/?mlat=36.3637&amp;mlon=43.2184&amp;zoom=12#map=12/36.3637/43.2184","Maplink1")</f>
        <v>Maplink1</v>
      </c>
      <c r="AU376" s="20" t="str">
        <f>HYPERLINK("https://www.google.iq/maps/search/+36.3637,43.2184/@36.3637,43.2184,14z?hl=en","Maplink2")</f>
        <v>Maplink2</v>
      </c>
      <c r="AV376" s="20" t="str">
        <f>HYPERLINK("http://www.bing.com/maps/?lvl=14&amp;sty=h&amp;cp=36.3637~43.2184&amp;sp=point.36.3637_43.2184","Maplink3")</f>
        <v>Maplink3</v>
      </c>
    </row>
    <row r="377" spans="1:48" x14ac:dyDescent="0.25">
      <c r="A377" s="9">
        <v>21336</v>
      </c>
      <c r="B377" s="10" t="s">
        <v>20</v>
      </c>
      <c r="C377" s="10" t="s">
        <v>684</v>
      </c>
      <c r="D377" s="10" t="s">
        <v>1282</v>
      </c>
      <c r="E377" s="10" t="s">
        <v>1283</v>
      </c>
      <c r="F377" s="10">
        <v>36.3215</v>
      </c>
      <c r="G377" s="10">
        <v>43.125999999999998</v>
      </c>
      <c r="H377" s="11">
        <v>172</v>
      </c>
      <c r="I377" s="11">
        <v>1032</v>
      </c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>
        <v>172</v>
      </c>
      <c r="W377" s="11"/>
      <c r="X377" s="11"/>
      <c r="Y377" s="11"/>
      <c r="Z377" s="11"/>
      <c r="AA377" s="11"/>
      <c r="AB377" s="11"/>
      <c r="AC377" s="11">
        <v>172</v>
      </c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>
        <v>172</v>
      </c>
      <c r="AT377" s="20" t="str">
        <f>HYPERLINK("http://www.openstreetmap.org/?mlat=36.3215&amp;mlon=43.126&amp;zoom=12#map=12/36.3215/43.126","Maplink1")</f>
        <v>Maplink1</v>
      </c>
      <c r="AU377" s="20" t="str">
        <f>HYPERLINK("https://www.google.iq/maps/search/+36.3215,43.126/@36.3215,43.126,14z?hl=en","Maplink2")</f>
        <v>Maplink2</v>
      </c>
      <c r="AV377" s="20" t="str">
        <f>HYPERLINK("http://www.bing.com/maps/?lvl=14&amp;sty=h&amp;cp=36.3215~43.126&amp;sp=point.36.3215_43.126","Maplink3")</f>
        <v>Maplink3</v>
      </c>
    </row>
    <row r="378" spans="1:48" x14ac:dyDescent="0.25">
      <c r="A378" s="9">
        <v>24205</v>
      </c>
      <c r="B378" s="10" t="s">
        <v>20</v>
      </c>
      <c r="C378" s="10" t="s">
        <v>684</v>
      </c>
      <c r="D378" s="10" t="s">
        <v>1241</v>
      </c>
      <c r="E378" s="10" t="s">
        <v>1242</v>
      </c>
      <c r="F378" s="10">
        <v>36.487084000000003</v>
      </c>
      <c r="G378" s="10">
        <v>43.234304000000002</v>
      </c>
      <c r="H378" s="11">
        <v>12</v>
      </c>
      <c r="I378" s="11">
        <v>72</v>
      </c>
      <c r="J378" s="11"/>
      <c r="K378" s="11"/>
      <c r="L378" s="11"/>
      <c r="M378" s="11"/>
      <c r="N378" s="11">
        <v>1</v>
      </c>
      <c r="O378" s="11"/>
      <c r="P378" s="11"/>
      <c r="Q378" s="11"/>
      <c r="R378" s="11"/>
      <c r="S378" s="11"/>
      <c r="T378" s="11"/>
      <c r="U378" s="11"/>
      <c r="V378" s="11">
        <v>11</v>
      </c>
      <c r="W378" s="11"/>
      <c r="X378" s="11"/>
      <c r="Y378" s="11"/>
      <c r="Z378" s="11"/>
      <c r="AA378" s="11"/>
      <c r="AB378" s="11"/>
      <c r="AC378" s="11">
        <v>12</v>
      </c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>
        <v>1</v>
      </c>
      <c r="AP378" s="11"/>
      <c r="AQ378" s="11"/>
      <c r="AR378" s="11"/>
      <c r="AS378" s="11">
        <v>11</v>
      </c>
      <c r="AT378" s="20" t="str">
        <f>HYPERLINK("http://www.openstreetmap.org/?mlat=36.4871&amp;mlon=43.2343&amp;zoom=12#map=12/36.4871/43.2343","Maplink1")</f>
        <v>Maplink1</v>
      </c>
      <c r="AU378" s="20" t="str">
        <f>HYPERLINK("https://www.google.iq/maps/search/+36.4871,43.2343/@36.4871,43.2343,14z?hl=en","Maplink2")</f>
        <v>Maplink2</v>
      </c>
      <c r="AV378" s="20" t="str">
        <f>HYPERLINK("http://www.bing.com/maps/?lvl=14&amp;sty=h&amp;cp=36.4871~43.2343&amp;sp=point.36.4871_43.2343","Maplink3")</f>
        <v>Maplink3</v>
      </c>
    </row>
    <row r="379" spans="1:48" x14ac:dyDescent="0.25">
      <c r="A379" s="9">
        <v>17510</v>
      </c>
      <c r="B379" s="10" t="s">
        <v>20</v>
      </c>
      <c r="C379" s="10" t="s">
        <v>684</v>
      </c>
      <c r="D379" s="10" t="s">
        <v>708</v>
      </c>
      <c r="E379" s="10" t="s">
        <v>709</v>
      </c>
      <c r="F379" s="10">
        <v>35.828699999999998</v>
      </c>
      <c r="G379" s="10">
        <v>43.327100000000002</v>
      </c>
      <c r="H379" s="11">
        <v>120</v>
      </c>
      <c r="I379" s="11">
        <v>720</v>
      </c>
      <c r="J379" s="11"/>
      <c r="K379" s="11"/>
      <c r="L379" s="11"/>
      <c r="M379" s="11"/>
      <c r="N379" s="11"/>
      <c r="O379" s="11"/>
      <c r="P379" s="11">
        <v>120</v>
      </c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>
        <v>120</v>
      </c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>
        <v>120</v>
      </c>
      <c r="AS379" s="11"/>
      <c r="AT379" s="20" t="str">
        <f>HYPERLINK("http://www.openstreetmap.org/?mlat=35.8287&amp;mlon=43.3271&amp;zoom=12#map=12/35.8287/43.3271","Maplink1")</f>
        <v>Maplink1</v>
      </c>
      <c r="AU379" s="20" t="str">
        <f>HYPERLINK("https://www.google.iq/maps/search/+35.8287,43.3271/@35.8287,43.3271,14z?hl=en","Maplink2")</f>
        <v>Maplink2</v>
      </c>
      <c r="AV379" s="20" t="str">
        <f>HYPERLINK("http://www.bing.com/maps/?lvl=14&amp;sty=h&amp;cp=35.8287~43.3271&amp;sp=point.35.8287_43.3271","Maplink3")</f>
        <v>Maplink3</v>
      </c>
    </row>
    <row r="380" spans="1:48" x14ac:dyDescent="0.25">
      <c r="A380" s="9">
        <v>18376</v>
      </c>
      <c r="B380" s="10" t="s">
        <v>20</v>
      </c>
      <c r="C380" s="10" t="s">
        <v>684</v>
      </c>
      <c r="D380" s="10" t="s">
        <v>710</v>
      </c>
      <c r="E380" s="10" t="s">
        <v>711</v>
      </c>
      <c r="F380" s="10">
        <v>36.34928</v>
      </c>
      <c r="G380" s="10">
        <v>43.282122999999999</v>
      </c>
      <c r="H380" s="11">
        <v>482</v>
      </c>
      <c r="I380" s="11">
        <v>2892</v>
      </c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>
        <v>482</v>
      </c>
      <c r="W380" s="11"/>
      <c r="X380" s="11"/>
      <c r="Y380" s="11"/>
      <c r="Z380" s="11"/>
      <c r="AA380" s="11"/>
      <c r="AB380" s="11"/>
      <c r="AC380" s="11">
        <v>482</v>
      </c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>
        <v>482</v>
      </c>
      <c r="AT380" s="20" t="str">
        <f>HYPERLINK("http://www.openstreetmap.org/?mlat=36.3493&amp;mlon=43.2821&amp;zoom=12#map=12/36.3493/43.2821","Maplink1")</f>
        <v>Maplink1</v>
      </c>
      <c r="AU380" s="20" t="str">
        <f>HYPERLINK("https://www.google.iq/maps/search/+36.3493,43.2821/@36.3493,43.2821,14z?hl=en","Maplink2")</f>
        <v>Maplink2</v>
      </c>
      <c r="AV380" s="20" t="str">
        <f>HYPERLINK("http://www.bing.com/maps/?lvl=14&amp;sty=h&amp;cp=36.3493~43.2821&amp;sp=point.36.3493_43.2821","Maplink3")</f>
        <v>Maplink3</v>
      </c>
    </row>
    <row r="381" spans="1:48" x14ac:dyDescent="0.25">
      <c r="A381" s="9">
        <v>25813</v>
      </c>
      <c r="B381" s="10" t="s">
        <v>20</v>
      </c>
      <c r="C381" s="10" t="s">
        <v>684</v>
      </c>
      <c r="D381" s="10" t="s">
        <v>712</v>
      </c>
      <c r="E381" s="10" t="s">
        <v>713</v>
      </c>
      <c r="F381" s="10">
        <v>36.493137050000001</v>
      </c>
      <c r="G381" s="10">
        <v>43.424021369999998</v>
      </c>
      <c r="H381" s="11">
        <v>23</v>
      </c>
      <c r="I381" s="11">
        <v>138</v>
      </c>
      <c r="J381" s="11"/>
      <c r="K381" s="11"/>
      <c r="L381" s="11"/>
      <c r="M381" s="11"/>
      <c r="N381" s="11">
        <v>13</v>
      </c>
      <c r="O381" s="11"/>
      <c r="P381" s="11">
        <v>10</v>
      </c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>
        <v>23</v>
      </c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>
        <v>23</v>
      </c>
      <c r="AP381" s="11"/>
      <c r="AQ381" s="11"/>
      <c r="AR381" s="11"/>
      <c r="AS381" s="11"/>
      <c r="AT381" s="20" t="str">
        <f>HYPERLINK("http://www.openstreetmap.org/?mlat=36.4931&amp;mlon=43.424&amp;zoom=12#map=12/36.4931/43.424","Maplink1")</f>
        <v>Maplink1</v>
      </c>
      <c r="AU381" s="20" t="str">
        <f>HYPERLINK("https://www.google.iq/maps/search/+36.4931,43.424/@36.4931,43.424,14z?hl=en","Maplink2")</f>
        <v>Maplink2</v>
      </c>
      <c r="AV381" s="20" t="str">
        <f>HYPERLINK("http://www.bing.com/maps/?lvl=14&amp;sty=h&amp;cp=36.4931~43.424&amp;sp=point.36.4931_43.424","Maplink3")</f>
        <v>Maplink3</v>
      </c>
    </row>
    <row r="382" spans="1:48" x14ac:dyDescent="0.25">
      <c r="A382" s="9">
        <v>29662</v>
      </c>
      <c r="B382" s="10" t="s">
        <v>20</v>
      </c>
      <c r="C382" s="10" t="s">
        <v>684</v>
      </c>
      <c r="D382" s="10" t="s">
        <v>714</v>
      </c>
      <c r="E382" s="10" t="s">
        <v>715</v>
      </c>
      <c r="F382" s="10">
        <v>35.838299999999997</v>
      </c>
      <c r="G382" s="10">
        <v>43.329700000000003</v>
      </c>
      <c r="H382" s="11">
        <v>237</v>
      </c>
      <c r="I382" s="11">
        <v>1422</v>
      </c>
      <c r="J382" s="11"/>
      <c r="K382" s="11"/>
      <c r="L382" s="11"/>
      <c r="M382" s="11"/>
      <c r="N382" s="11"/>
      <c r="O382" s="11"/>
      <c r="P382" s="11">
        <v>237</v>
      </c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>
        <v>237</v>
      </c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>
        <v>237</v>
      </c>
      <c r="AS382" s="11"/>
      <c r="AT382" s="20" t="str">
        <f>HYPERLINK("http://www.openstreetmap.org/?mlat=35.8383&amp;mlon=43.3297&amp;zoom=12#map=12/35.8383/43.3297","Maplink1")</f>
        <v>Maplink1</v>
      </c>
      <c r="AU382" s="20" t="str">
        <f>HYPERLINK("https://www.google.iq/maps/search/+35.8383,43.3297/@35.8383,43.3297,14z?hl=en","Maplink2")</f>
        <v>Maplink2</v>
      </c>
      <c r="AV382" s="20" t="str">
        <f>HYPERLINK("http://www.bing.com/maps/?lvl=14&amp;sty=h&amp;cp=35.8383~43.3297&amp;sp=point.35.8383_43.3297","Maplink3")</f>
        <v>Maplink3</v>
      </c>
    </row>
    <row r="383" spans="1:48" x14ac:dyDescent="0.25">
      <c r="A383" s="9">
        <v>25810</v>
      </c>
      <c r="B383" s="10" t="s">
        <v>20</v>
      </c>
      <c r="C383" s="10" t="s">
        <v>684</v>
      </c>
      <c r="D383" s="10" t="s">
        <v>716</v>
      </c>
      <c r="E383" s="10" t="s">
        <v>717</v>
      </c>
      <c r="F383" s="10">
        <v>36.47873242</v>
      </c>
      <c r="G383" s="10">
        <v>43.440075739999997</v>
      </c>
      <c r="H383" s="11">
        <v>67</v>
      </c>
      <c r="I383" s="11">
        <v>402</v>
      </c>
      <c r="J383" s="11"/>
      <c r="K383" s="11"/>
      <c r="L383" s="11"/>
      <c r="M383" s="11"/>
      <c r="N383" s="11">
        <v>30</v>
      </c>
      <c r="O383" s="11"/>
      <c r="P383" s="11">
        <v>37</v>
      </c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>
        <v>67</v>
      </c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>
        <v>67</v>
      </c>
      <c r="AP383" s="11"/>
      <c r="AQ383" s="11"/>
      <c r="AR383" s="11"/>
      <c r="AS383" s="11"/>
      <c r="AT383" s="20" t="str">
        <f>HYPERLINK("http://www.openstreetmap.org/?mlat=36.4787&amp;mlon=43.4401&amp;zoom=12#map=12/36.4787/43.4401","Maplink1")</f>
        <v>Maplink1</v>
      </c>
      <c r="AU383" s="20" t="str">
        <f>HYPERLINK("https://www.google.iq/maps/search/+36.4787,43.4401/@36.4787,43.4401,14z?hl=en","Maplink2")</f>
        <v>Maplink2</v>
      </c>
      <c r="AV383" s="20" t="str">
        <f>HYPERLINK("http://www.bing.com/maps/?lvl=14&amp;sty=h&amp;cp=36.4787~43.4401&amp;sp=point.36.4787_43.4401","Maplink3")</f>
        <v>Maplink3</v>
      </c>
    </row>
    <row r="384" spans="1:48" x14ac:dyDescent="0.25">
      <c r="A384" s="9">
        <v>17990</v>
      </c>
      <c r="B384" s="10" t="s">
        <v>20</v>
      </c>
      <c r="C384" s="10" t="s">
        <v>684</v>
      </c>
      <c r="D384" s="10" t="s">
        <v>684</v>
      </c>
      <c r="E384" s="10" t="s">
        <v>1284</v>
      </c>
      <c r="F384" s="10">
        <v>36.340054000000002</v>
      </c>
      <c r="G384" s="10">
        <v>43.130054999999999</v>
      </c>
      <c r="H384" s="11">
        <v>356</v>
      </c>
      <c r="I384" s="11">
        <v>2136</v>
      </c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>
        <v>356</v>
      </c>
      <c r="W384" s="11"/>
      <c r="X384" s="11"/>
      <c r="Y384" s="11"/>
      <c r="Z384" s="11"/>
      <c r="AA384" s="11"/>
      <c r="AB384" s="11"/>
      <c r="AC384" s="11">
        <v>356</v>
      </c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>
        <v>356</v>
      </c>
      <c r="AT384" s="20" t="str">
        <f>HYPERLINK("http://www.openstreetmap.org/?mlat=36.3401&amp;mlon=43.1301&amp;zoom=12#map=12/36.3401/43.1301","Maplink1")</f>
        <v>Maplink1</v>
      </c>
      <c r="AU384" s="20" t="str">
        <f>HYPERLINK("https://www.google.iq/maps/search/+36.3401,43.1301/@36.3401,43.1301,14z?hl=en","Maplink2")</f>
        <v>Maplink2</v>
      </c>
      <c r="AV384" s="20" t="str">
        <f>HYPERLINK("http://www.bing.com/maps/?lvl=14&amp;sty=h&amp;cp=36.3401~43.1301&amp;sp=point.36.3401_43.1301","Maplink3")</f>
        <v>Maplink3</v>
      </c>
    </row>
    <row r="385" spans="1:48" x14ac:dyDescent="0.25">
      <c r="A385" s="9">
        <v>18332</v>
      </c>
      <c r="B385" s="10" t="s">
        <v>20</v>
      </c>
      <c r="C385" s="10" t="s">
        <v>684</v>
      </c>
      <c r="D385" s="10" t="s">
        <v>1285</v>
      </c>
      <c r="E385" s="10" t="s">
        <v>1286</v>
      </c>
      <c r="F385" s="10">
        <v>36.346417000000002</v>
      </c>
      <c r="G385" s="10">
        <v>43.164434</v>
      </c>
      <c r="H385" s="11">
        <v>187</v>
      </c>
      <c r="I385" s="11">
        <v>1122</v>
      </c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>
        <v>187</v>
      </c>
      <c r="W385" s="11"/>
      <c r="X385" s="11"/>
      <c r="Y385" s="11"/>
      <c r="Z385" s="11"/>
      <c r="AA385" s="11"/>
      <c r="AB385" s="11"/>
      <c r="AC385" s="11">
        <v>187</v>
      </c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>
        <v>187</v>
      </c>
      <c r="AT385" s="20" t="str">
        <f>HYPERLINK("http://www.openstreetmap.org/?mlat=36.3464&amp;mlon=43.1644&amp;zoom=12#map=12/36.3464/43.1644","Maplink1")</f>
        <v>Maplink1</v>
      </c>
      <c r="AU385" s="20" t="str">
        <f>HYPERLINK("https://www.google.iq/maps/search/+36.3464,43.1644/@36.3464,43.1644,14z?hl=en","Maplink2")</f>
        <v>Maplink2</v>
      </c>
      <c r="AV385" s="20" t="str">
        <f>HYPERLINK("http://www.bing.com/maps/?lvl=14&amp;sty=h&amp;cp=36.3464~43.1644&amp;sp=point.36.3464_43.1644","Maplink3")</f>
        <v>Maplink3</v>
      </c>
    </row>
    <row r="386" spans="1:48" x14ac:dyDescent="0.25">
      <c r="A386" s="9">
        <v>18407</v>
      </c>
      <c r="B386" s="10" t="s">
        <v>20</v>
      </c>
      <c r="C386" s="10" t="s">
        <v>684</v>
      </c>
      <c r="D386" s="10" t="s">
        <v>718</v>
      </c>
      <c r="E386" s="10" t="s">
        <v>719</v>
      </c>
      <c r="F386" s="10">
        <v>36.4788</v>
      </c>
      <c r="G386" s="10">
        <v>43.2742</v>
      </c>
      <c r="H386" s="11">
        <v>152</v>
      </c>
      <c r="I386" s="11">
        <v>912</v>
      </c>
      <c r="J386" s="11"/>
      <c r="K386" s="11"/>
      <c r="L386" s="11"/>
      <c r="M386" s="11"/>
      <c r="N386" s="11">
        <v>72</v>
      </c>
      <c r="O386" s="11"/>
      <c r="P386" s="11"/>
      <c r="Q386" s="11"/>
      <c r="R386" s="11"/>
      <c r="S386" s="11"/>
      <c r="T386" s="11"/>
      <c r="U386" s="11"/>
      <c r="V386" s="11">
        <v>80</v>
      </c>
      <c r="W386" s="11"/>
      <c r="X386" s="11"/>
      <c r="Y386" s="11"/>
      <c r="Z386" s="11"/>
      <c r="AA386" s="11"/>
      <c r="AB386" s="11"/>
      <c r="AC386" s="11">
        <v>152</v>
      </c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>
        <v>72</v>
      </c>
      <c r="AP386" s="11"/>
      <c r="AQ386" s="11"/>
      <c r="AR386" s="11"/>
      <c r="AS386" s="11">
        <v>80</v>
      </c>
      <c r="AT386" s="20" t="str">
        <f>HYPERLINK("http://www.openstreetmap.org/?mlat=36.4788&amp;mlon=43.2742&amp;zoom=12#map=12/36.4788/43.2742","Maplink1")</f>
        <v>Maplink1</v>
      </c>
      <c r="AU386" s="20" t="str">
        <f>HYPERLINK("https://www.google.iq/maps/search/+36.4788,43.2742/@36.4788,43.2742,14z?hl=en","Maplink2")</f>
        <v>Maplink2</v>
      </c>
      <c r="AV386" s="20" t="str">
        <f>HYPERLINK("http://www.bing.com/maps/?lvl=14&amp;sty=h&amp;cp=36.4788~43.2742&amp;sp=point.36.4788_43.2742","Maplink3")</f>
        <v>Maplink3</v>
      </c>
    </row>
    <row r="387" spans="1:48" x14ac:dyDescent="0.25">
      <c r="A387" s="9">
        <v>17922</v>
      </c>
      <c r="B387" s="10" t="s">
        <v>20</v>
      </c>
      <c r="C387" s="10" t="s">
        <v>684</v>
      </c>
      <c r="D387" s="10" t="s">
        <v>720</v>
      </c>
      <c r="E387" s="10" t="s">
        <v>721</v>
      </c>
      <c r="F387" s="10">
        <v>35.992576</v>
      </c>
      <c r="G387" s="10">
        <v>43.220658999999998</v>
      </c>
      <c r="H387" s="11">
        <v>600</v>
      </c>
      <c r="I387" s="11">
        <v>3600</v>
      </c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>
        <v>600</v>
      </c>
      <c r="W387" s="11"/>
      <c r="X387" s="11"/>
      <c r="Y387" s="11"/>
      <c r="Z387" s="11"/>
      <c r="AA387" s="11"/>
      <c r="AB387" s="11"/>
      <c r="AC387" s="11">
        <v>600</v>
      </c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>
        <v>600</v>
      </c>
      <c r="AT387" s="20" t="str">
        <f>HYPERLINK("http://www.openstreetmap.org/?mlat=35.9926&amp;mlon=43.2207&amp;zoom=12#map=12/35.9926/43.2207","Maplink1")</f>
        <v>Maplink1</v>
      </c>
      <c r="AU387" s="20" t="str">
        <f>HYPERLINK("https://www.google.iq/maps/search/+35.9926,43.2207/@35.9926,43.2207,14z?hl=en","Maplink2")</f>
        <v>Maplink2</v>
      </c>
      <c r="AV387" s="20" t="str">
        <f>HYPERLINK("http://www.bing.com/maps/?lvl=14&amp;sty=h&amp;cp=35.9926~43.2207&amp;sp=point.35.9926_43.2207","Maplink3")</f>
        <v>Maplink3</v>
      </c>
    </row>
    <row r="388" spans="1:48" x14ac:dyDescent="0.25">
      <c r="A388" s="9">
        <v>17921</v>
      </c>
      <c r="B388" s="10" t="s">
        <v>20</v>
      </c>
      <c r="C388" s="10" t="s">
        <v>684</v>
      </c>
      <c r="D388" s="10" t="s">
        <v>722</v>
      </c>
      <c r="E388" s="10" t="s">
        <v>723</v>
      </c>
      <c r="F388" s="10">
        <v>35.935200000000002</v>
      </c>
      <c r="G388" s="10">
        <v>43.270099999999999</v>
      </c>
      <c r="H388" s="11">
        <v>150</v>
      </c>
      <c r="I388" s="11">
        <v>900</v>
      </c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>
        <v>150</v>
      </c>
      <c r="W388" s="11"/>
      <c r="X388" s="11"/>
      <c r="Y388" s="11"/>
      <c r="Z388" s="11"/>
      <c r="AA388" s="11"/>
      <c r="AB388" s="11"/>
      <c r="AC388" s="11">
        <v>150</v>
      </c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>
        <v>150</v>
      </c>
      <c r="AT388" s="20" t="str">
        <f>HYPERLINK("http://www.openstreetmap.org/?mlat=35.9352&amp;mlon=43.2701&amp;zoom=12#map=12/35.9352/43.2701","Maplink1")</f>
        <v>Maplink1</v>
      </c>
      <c r="AU388" s="20" t="str">
        <f>HYPERLINK("https://www.google.iq/maps/search/+35.9352,43.2701/@35.9352,43.2701,14z?hl=en","Maplink2")</f>
        <v>Maplink2</v>
      </c>
      <c r="AV388" s="20" t="str">
        <f>HYPERLINK("http://www.bing.com/maps/?lvl=14&amp;sty=h&amp;cp=35.9352~43.2701&amp;sp=point.35.9352_43.2701","Maplink3")</f>
        <v>Maplink3</v>
      </c>
    </row>
    <row r="389" spans="1:48" x14ac:dyDescent="0.25">
      <c r="A389" s="9">
        <v>22431</v>
      </c>
      <c r="B389" s="10" t="s">
        <v>20</v>
      </c>
      <c r="C389" s="10" t="s">
        <v>684</v>
      </c>
      <c r="D389" s="10" t="s">
        <v>1243</v>
      </c>
      <c r="E389" s="10" t="s">
        <v>1244</v>
      </c>
      <c r="F389" s="10">
        <v>36.446199999999997</v>
      </c>
      <c r="G389" s="10">
        <v>43.254100000000001</v>
      </c>
      <c r="H389" s="11">
        <v>24</v>
      </c>
      <c r="I389" s="11">
        <v>144</v>
      </c>
      <c r="J389" s="11"/>
      <c r="K389" s="11"/>
      <c r="L389" s="11"/>
      <c r="M389" s="11"/>
      <c r="N389" s="11">
        <v>10</v>
      </c>
      <c r="O389" s="11"/>
      <c r="P389" s="11"/>
      <c r="Q389" s="11"/>
      <c r="R389" s="11"/>
      <c r="S389" s="11"/>
      <c r="T389" s="11"/>
      <c r="U389" s="11"/>
      <c r="V389" s="11">
        <v>14</v>
      </c>
      <c r="W389" s="11"/>
      <c r="X389" s="11"/>
      <c r="Y389" s="11"/>
      <c r="Z389" s="11"/>
      <c r="AA389" s="11"/>
      <c r="AB389" s="11"/>
      <c r="AC389" s="11">
        <v>24</v>
      </c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>
        <v>10</v>
      </c>
      <c r="AP389" s="11"/>
      <c r="AQ389" s="11"/>
      <c r="AR389" s="11"/>
      <c r="AS389" s="11">
        <v>14</v>
      </c>
      <c r="AT389" s="20" t="str">
        <f>HYPERLINK("http://www.openstreetmap.org/?mlat=36.4462&amp;mlon=43.2541&amp;zoom=12#map=12/36.4462/43.2541","Maplink1")</f>
        <v>Maplink1</v>
      </c>
      <c r="AU389" s="20" t="str">
        <f>HYPERLINK("https://www.google.iq/maps/search/+36.4462,43.2541/@36.4462,43.2541,14z?hl=en","Maplink2")</f>
        <v>Maplink2</v>
      </c>
      <c r="AV389" s="20" t="str">
        <f>HYPERLINK("http://www.bing.com/maps/?lvl=14&amp;sty=h&amp;cp=36.4462~43.2541&amp;sp=point.36.4462_43.2541","Maplink3")</f>
        <v>Maplink3</v>
      </c>
    </row>
    <row r="390" spans="1:48" x14ac:dyDescent="0.25">
      <c r="A390" s="9">
        <v>17965</v>
      </c>
      <c r="B390" s="10" t="s">
        <v>20</v>
      </c>
      <c r="C390" s="10" t="s">
        <v>684</v>
      </c>
      <c r="D390" s="10" t="s">
        <v>724</v>
      </c>
      <c r="E390" s="10" t="s">
        <v>725</v>
      </c>
      <c r="F390" s="10">
        <v>35.944699999999997</v>
      </c>
      <c r="G390" s="10">
        <v>43.317300000000003</v>
      </c>
      <c r="H390" s="11">
        <v>200</v>
      </c>
      <c r="I390" s="11">
        <v>1200</v>
      </c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>
        <v>200</v>
      </c>
      <c r="W390" s="11"/>
      <c r="X390" s="11"/>
      <c r="Y390" s="11"/>
      <c r="Z390" s="11"/>
      <c r="AA390" s="11"/>
      <c r="AB390" s="11"/>
      <c r="AC390" s="11">
        <v>200</v>
      </c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>
        <v>200</v>
      </c>
      <c r="AT390" s="20" t="str">
        <f>HYPERLINK("http://www.openstreetmap.org/?mlat=35.9447&amp;mlon=43.3173&amp;zoom=12#map=12/35.9447/43.3173","Maplink1")</f>
        <v>Maplink1</v>
      </c>
      <c r="AU390" s="20" t="str">
        <f>HYPERLINK("https://www.google.iq/maps/search/+35.9447,43.3173/@35.9447,43.3173,14z?hl=en","Maplink2")</f>
        <v>Maplink2</v>
      </c>
      <c r="AV390" s="20" t="str">
        <f>HYPERLINK("http://www.bing.com/maps/?lvl=14&amp;sty=h&amp;cp=35.9447~43.3173&amp;sp=point.35.9447_43.3173","Maplink3")</f>
        <v>Maplink3</v>
      </c>
    </row>
    <row r="391" spans="1:48" x14ac:dyDescent="0.25">
      <c r="A391" s="9">
        <v>21583</v>
      </c>
      <c r="B391" s="10" t="s">
        <v>20</v>
      </c>
      <c r="C391" s="10" t="s">
        <v>684</v>
      </c>
      <c r="D391" s="10" t="s">
        <v>726</v>
      </c>
      <c r="E391" s="10" t="s">
        <v>727</v>
      </c>
      <c r="F391" s="10">
        <v>36.386099999999999</v>
      </c>
      <c r="G391" s="10">
        <v>43.352200000000003</v>
      </c>
      <c r="H391" s="11">
        <v>185</v>
      </c>
      <c r="I391" s="11">
        <v>1110</v>
      </c>
      <c r="J391" s="11"/>
      <c r="K391" s="11"/>
      <c r="L391" s="11"/>
      <c r="M391" s="11"/>
      <c r="N391" s="11">
        <v>2</v>
      </c>
      <c r="O391" s="11"/>
      <c r="P391" s="11">
        <v>13</v>
      </c>
      <c r="Q391" s="11"/>
      <c r="R391" s="11"/>
      <c r="S391" s="11"/>
      <c r="T391" s="11"/>
      <c r="U391" s="11"/>
      <c r="V391" s="11">
        <v>170</v>
      </c>
      <c r="W391" s="11"/>
      <c r="X391" s="11"/>
      <c r="Y391" s="11"/>
      <c r="Z391" s="11"/>
      <c r="AA391" s="11"/>
      <c r="AB391" s="11"/>
      <c r="AC391" s="11">
        <v>185</v>
      </c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>
        <v>15</v>
      </c>
      <c r="AP391" s="11"/>
      <c r="AQ391" s="11"/>
      <c r="AR391" s="11"/>
      <c r="AS391" s="11">
        <v>170</v>
      </c>
      <c r="AT391" s="20" t="str">
        <f>HYPERLINK("http://www.openstreetmap.org/?mlat=36.3861&amp;mlon=43.3522&amp;zoom=12#map=12/36.3861/43.3522","Maplink1")</f>
        <v>Maplink1</v>
      </c>
      <c r="AU391" s="20" t="str">
        <f>HYPERLINK("https://www.google.iq/maps/search/+36.3861,43.3522/@36.3861,43.3522,14z?hl=en","Maplink2")</f>
        <v>Maplink2</v>
      </c>
      <c r="AV391" s="20" t="str">
        <f>HYPERLINK("http://www.bing.com/maps/?lvl=14&amp;sty=h&amp;cp=36.3861~43.3522&amp;sp=point.36.3861_43.3522","Maplink3")</f>
        <v>Maplink3</v>
      </c>
    </row>
    <row r="392" spans="1:48" x14ac:dyDescent="0.25">
      <c r="A392" s="9">
        <v>27396</v>
      </c>
      <c r="B392" s="10" t="s">
        <v>20</v>
      </c>
      <c r="C392" s="10" t="s">
        <v>728</v>
      </c>
      <c r="D392" s="10" t="s">
        <v>729</v>
      </c>
      <c r="E392" s="10" t="s">
        <v>730</v>
      </c>
      <c r="F392" s="10">
        <v>36.442680490000001</v>
      </c>
      <c r="G392" s="10">
        <v>41.75859475</v>
      </c>
      <c r="H392" s="11">
        <v>145</v>
      </c>
      <c r="I392" s="11">
        <v>870</v>
      </c>
      <c r="J392" s="11"/>
      <c r="K392" s="11"/>
      <c r="L392" s="11"/>
      <c r="M392" s="11"/>
      <c r="N392" s="11">
        <v>145</v>
      </c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>
        <v>145</v>
      </c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>
        <v>145</v>
      </c>
      <c r="AP392" s="11"/>
      <c r="AQ392" s="11"/>
      <c r="AR392" s="11"/>
      <c r="AS392" s="11"/>
      <c r="AT392" s="20" t="str">
        <f>HYPERLINK("http://www.openstreetmap.org/?mlat=36.4427&amp;mlon=41.7586&amp;zoom=12#map=12/36.4427/41.7586","Maplink1")</f>
        <v>Maplink1</v>
      </c>
      <c r="AU392" s="20" t="str">
        <f>HYPERLINK("https://www.google.iq/maps/search/+36.4427,41.7586/@36.4427,41.7586,14z?hl=en","Maplink2")</f>
        <v>Maplink2</v>
      </c>
      <c r="AV392" s="20" t="str">
        <f>HYPERLINK("http://www.bing.com/maps/?lvl=14&amp;sty=h&amp;cp=36.4427~41.7586&amp;sp=point.36.4427_41.7586","Maplink3")</f>
        <v>Maplink3</v>
      </c>
    </row>
    <row r="393" spans="1:48" x14ac:dyDescent="0.25">
      <c r="A393" s="9">
        <v>27403</v>
      </c>
      <c r="B393" s="10" t="s">
        <v>20</v>
      </c>
      <c r="C393" s="10" t="s">
        <v>728</v>
      </c>
      <c r="D393" s="10" t="s">
        <v>731</v>
      </c>
      <c r="E393" s="10" t="s">
        <v>732</v>
      </c>
      <c r="F393" s="10">
        <v>36.451784000000004</v>
      </c>
      <c r="G393" s="10">
        <v>41.71119736</v>
      </c>
      <c r="H393" s="11">
        <v>157</v>
      </c>
      <c r="I393" s="11">
        <v>942</v>
      </c>
      <c r="J393" s="11"/>
      <c r="K393" s="11"/>
      <c r="L393" s="11"/>
      <c r="M393" s="11"/>
      <c r="N393" s="11">
        <v>157</v>
      </c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>
        <v>157</v>
      </c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>
        <v>157</v>
      </c>
      <c r="AP393" s="11"/>
      <c r="AQ393" s="11"/>
      <c r="AR393" s="11"/>
      <c r="AS393" s="11"/>
      <c r="AT393" s="20" t="str">
        <f>HYPERLINK("http://www.openstreetmap.org/?mlat=36.4518&amp;mlon=41.7112&amp;zoom=12#map=12/36.4518/41.7112","Maplink1")</f>
        <v>Maplink1</v>
      </c>
      <c r="AU393" s="20" t="str">
        <f>HYPERLINK("https://www.google.iq/maps/search/+36.4518,41.7112/@36.4518,41.7112,14z?hl=en","Maplink2")</f>
        <v>Maplink2</v>
      </c>
      <c r="AV393" s="20" t="str">
        <f>HYPERLINK("http://www.bing.com/maps/?lvl=14&amp;sty=h&amp;cp=36.4518~41.7112&amp;sp=point.36.4518_41.7112","Maplink3")</f>
        <v>Maplink3</v>
      </c>
    </row>
    <row r="394" spans="1:48" x14ac:dyDescent="0.25">
      <c r="A394" s="9">
        <v>28415</v>
      </c>
      <c r="B394" s="10" t="s">
        <v>20</v>
      </c>
      <c r="C394" s="10" t="s">
        <v>728</v>
      </c>
      <c r="D394" s="10" t="s">
        <v>733</v>
      </c>
      <c r="E394" s="10" t="s">
        <v>734</v>
      </c>
      <c r="F394" s="10">
        <v>36.416754109999999</v>
      </c>
      <c r="G394" s="10">
        <v>41.913282879999997</v>
      </c>
      <c r="H394" s="11">
        <v>65</v>
      </c>
      <c r="I394" s="11">
        <v>390</v>
      </c>
      <c r="J394" s="11"/>
      <c r="K394" s="11"/>
      <c r="L394" s="11"/>
      <c r="M394" s="11"/>
      <c r="N394" s="11">
        <v>65</v>
      </c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>
        <v>65</v>
      </c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>
        <v>65</v>
      </c>
      <c r="AP394" s="11"/>
      <c r="AQ394" s="11"/>
      <c r="AR394" s="11"/>
      <c r="AS394" s="11"/>
      <c r="AT394" s="20" t="str">
        <f>HYPERLINK("http://www.openstreetmap.org/?mlat=36.4168&amp;mlon=41.9133&amp;zoom=12#map=12/36.4168/41.9133","Maplink1")</f>
        <v>Maplink1</v>
      </c>
      <c r="AU394" s="20" t="str">
        <f>HYPERLINK("https://www.google.iq/maps/search/+36.4168,41.9133/@36.4168,41.9133,14z?hl=en","Maplink2")</f>
        <v>Maplink2</v>
      </c>
      <c r="AV394" s="20" t="str">
        <f>HYPERLINK("http://www.bing.com/maps/?lvl=14&amp;sty=h&amp;cp=36.4168~41.9133&amp;sp=point.36.4168_41.9133","Maplink3")</f>
        <v>Maplink3</v>
      </c>
    </row>
    <row r="395" spans="1:48" x14ac:dyDescent="0.25">
      <c r="A395" s="9">
        <v>27366</v>
      </c>
      <c r="B395" s="10" t="s">
        <v>20</v>
      </c>
      <c r="C395" s="10" t="s">
        <v>728</v>
      </c>
      <c r="D395" s="10" t="s">
        <v>735</v>
      </c>
      <c r="E395" s="10" t="s">
        <v>736</v>
      </c>
      <c r="F395" s="10">
        <v>36.424752769999998</v>
      </c>
      <c r="G395" s="10">
        <v>41.698482769999998</v>
      </c>
      <c r="H395" s="11">
        <v>82</v>
      </c>
      <c r="I395" s="11">
        <v>492</v>
      </c>
      <c r="J395" s="11"/>
      <c r="K395" s="11"/>
      <c r="L395" s="11"/>
      <c r="M395" s="11"/>
      <c r="N395" s="11">
        <v>82</v>
      </c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>
        <v>82</v>
      </c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>
        <v>82</v>
      </c>
      <c r="AP395" s="11"/>
      <c r="AQ395" s="11"/>
      <c r="AR395" s="11"/>
      <c r="AS395" s="11"/>
      <c r="AT395" s="20" t="str">
        <f>HYPERLINK("http://www.openstreetmap.org/?mlat=36.4248&amp;mlon=41.6985&amp;zoom=12#map=12/36.4248/41.6985","Maplink1")</f>
        <v>Maplink1</v>
      </c>
      <c r="AU395" s="20" t="str">
        <f>HYPERLINK("https://www.google.iq/maps/search/+36.4248,41.6985/@36.4248,41.6985,14z?hl=en","Maplink2")</f>
        <v>Maplink2</v>
      </c>
      <c r="AV395" s="20" t="str">
        <f>HYPERLINK("http://www.bing.com/maps/?lvl=14&amp;sty=h&amp;cp=36.4248~41.6985&amp;sp=point.36.4248_41.6985","Maplink3")</f>
        <v>Maplink3</v>
      </c>
    </row>
    <row r="396" spans="1:48" x14ac:dyDescent="0.25">
      <c r="A396" s="9">
        <v>28416</v>
      </c>
      <c r="B396" s="10" t="s">
        <v>20</v>
      </c>
      <c r="C396" s="10" t="s">
        <v>728</v>
      </c>
      <c r="D396" s="10" t="s">
        <v>737</v>
      </c>
      <c r="E396" s="10" t="s">
        <v>738</v>
      </c>
      <c r="F396" s="10">
        <v>36.451013000000003</v>
      </c>
      <c r="G396" s="10">
        <v>41.805731000000002</v>
      </c>
      <c r="H396" s="11">
        <v>8</v>
      </c>
      <c r="I396" s="11">
        <v>48</v>
      </c>
      <c r="J396" s="11"/>
      <c r="K396" s="11"/>
      <c r="L396" s="11"/>
      <c r="M396" s="11"/>
      <c r="N396" s="11">
        <v>8</v>
      </c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>
        <v>8</v>
      </c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>
        <v>8</v>
      </c>
      <c r="AP396" s="11"/>
      <c r="AQ396" s="11"/>
      <c r="AR396" s="11"/>
      <c r="AS396" s="11"/>
      <c r="AT396" s="20" t="str">
        <f>HYPERLINK("http://www.openstreetmap.org/?mlat=36.451&amp;mlon=41.8057&amp;zoom=12#map=12/36.451/41.8057","Maplink1")</f>
        <v>Maplink1</v>
      </c>
      <c r="AU396" s="20" t="str">
        <f>HYPERLINK("https://www.google.iq/maps/search/+36.451,41.8057/@36.451,41.8057,14z?hl=en","Maplink2")</f>
        <v>Maplink2</v>
      </c>
      <c r="AV396" s="20" t="str">
        <f>HYPERLINK("http://www.bing.com/maps/?lvl=14&amp;sty=h&amp;cp=36.451~41.8057&amp;sp=point.36.451_41.8057","Maplink3")</f>
        <v>Maplink3</v>
      </c>
    </row>
    <row r="397" spans="1:48" x14ac:dyDescent="0.25">
      <c r="A397" s="9">
        <v>27360</v>
      </c>
      <c r="B397" s="10" t="s">
        <v>20</v>
      </c>
      <c r="C397" s="10" t="s">
        <v>728</v>
      </c>
      <c r="D397" s="10" t="s">
        <v>739</v>
      </c>
      <c r="E397" s="10" t="s">
        <v>740</v>
      </c>
      <c r="F397" s="10">
        <v>36.420837830000004</v>
      </c>
      <c r="G397" s="10">
        <v>41.545917619999997</v>
      </c>
      <c r="H397" s="11">
        <v>35</v>
      </c>
      <c r="I397" s="11">
        <v>210</v>
      </c>
      <c r="J397" s="11"/>
      <c r="K397" s="11"/>
      <c r="L397" s="11"/>
      <c r="M397" s="11"/>
      <c r="N397" s="11">
        <v>35</v>
      </c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>
        <v>35</v>
      </c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>
        <v>35</v>
      </c>
      <c r="AP397" s="11"/>
      <c r="AQ397" s="11"/>
      <c r="AR397" s="11"/>
      <c r="AS397" s="11"/>
      <c r="AT397" s="20" t="str">
        <f>HYPERLINK("http://www.openstreetmap.org/?mlat=36.4208&amp;mlon=41.5459&amp;zoom=12#map=12/36.4208/41.5459","Maplink1")</f>
        <v>Maplink1</v>
      </c>
      <c r="AU397" s="20" t="str">
        <f>HYPERLINK("https://www.google.iq/maps/search/+36.4208,41.5459/@36.4208,41.5459,14z?hl=en","Maplink2")</f>
        <v>Maplink2</v>
      </c>
      <c r="AV397" s="20" t="str">
        <f>HYPERLINK("http://www.bing.com/maps/?lvl=14&amp;sty=h&amp;cp=36.4208~41.5459&amp;sp=point.36.4208_41.5459","Maplink3")</f>
        <v>Maplink3</v>
      </c>
    </row>
    <row r="398" spans="1:48" x14ac:dyDescent="0.25">
      <c r="A398" s="9">
        <v>27365</v>
      </c>
      <c r="B398" s="10" t="s">
        <v>20</v>
      </c>
      <c r="C398" s="10" t="s">
        <v>728</v>
      </c>
      <c r="D398" s="10" t="s">
        <v>741</v>
      </c>
      <c r="E398" s="10" t="s">
        <v>742</v>
      </c>
      <c r="F398" s="10">
        <v>36.435619520000003</v>
      </c>
      <c r="G398" s="10">
        <v>41.900978129999999</v>
      </c>
      <c r="H398" s="11">
        <v>36</v>
      </c>
      <c r="I398" s="11">
        <v>216</v>
      </c>
      <c r="J398" s="11"/>
      <c r="K398" s="11"/>
      <c r="L398" s="11"/>
      <c r="M398" s="11"/>
      <c r="N398" s="11">
        <v>36</v>
      </c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>
        <v>36</v>
      </c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>
        <v>36</v>
      </c>
      <c r="AP398" s="11"/>
      <c r="AQ398" s="11"/>
      <c r="AR398" s="11"/>
      <c r="AS398" s="11"/>
      <c r="AT398" s="20" t="str">
        <f>HYPERLINK("http://www.openstreetmap.org/?mlat=36.4356&amp;mlon=41.901&amp;zoom=12#map=12/36.4356/41.901","Maplink1")</f>
        <v>Maplink1</v>
      </c>
      <c r="AU398" s="20" t="str">
        <f>HYPERLINK("https://www.google.iq/maps/search/+36.4356,41.901/@36.4356,41.901,14z?hl=en","Maplink2")</f>
        <v>Maplink2</v>
      </c>
      <c r="AV398" s="20" t="str">
        <f>HYPERLINK("http://www.bing.com/maps/?lvl=14&amp;sty=h&amp;cp=36.4356~41.901&amp;sp=point.36.4356_41.901","Maplink3")</f>
        <v>Maplink3</v>
      </c>
    </row>
    <row r="399" spans="1:48" x14ac:dyDescent="0.25">
      <c r="A399" s="9">
        <v>17720</v>
      </c>
      <c r="B399" s="10" t="s">
        <v>20</v>
      </c>
      <c r="C399" s="10" t="s">
        <v>728</v>
      </c>
      <c r="D399" s="10" t="s">
        <v>743</v>
      </c>
      <c r="E399" s="10" t="s">
        <v>744</v>
      </c>
      <c r="F399" s="10">
        <v>36.556369750000002</v>
      </c>
      <c r="G399" s="10">
        <v>41.765707130000003</v>
      </c>
      <c r="H399" s="11">
        <v>10</v>
      </c>
      <c r="I399" s="11">
        <v>60</v>
      </c>
      <c r="J399" s="11"/>
      <c r="K399" s="11"/>
      <c r="L399" s="11"/>
      <c r="M399" s="11"/>
      <c r="N399" s="11">
        <v>10</v>
      </c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>
        <v>10</v>
      </c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>
        <v>10</v>
      </c>
      <c r="AP399" s="11"/>
      <c r="AQ399" s="11"/>
      <c r="AR399" s="11"/>
      <c r="AS399" s="11"/>
      <c r="AT399" s="20" t="str">
        <f>HYPERLINK("http://www.openstreetmap.org/?mlat=36.5564&amp;mlon=41.7657&amp;zoom=12#map=12/36.5564/41.7657","Maplink1")</f>
        <v>Maplink1</v>
      </c>
      <c r="AU399" s="20" t="str">
        <f>HYPERLINK("https://www.google.iq/maps/search/+36.5564,41.7657/@36.5564,41.7657,14z?hl=en","Maplink2")</f>
        <v>Maplink2</v>
      </c>
      <c r="AV399" s="20" t="str">
        <f>HYPERLINK("http://www.bing.com/maps/?lvl=14&amp;sty=h&amp;cp=36.5564~41.7657&amp;sp=point.36.5564_41.7657","Maplink3")</f>
        <v>Maplink3</v>
      </c>
    </row>
    <row r="400" spans="1:48" x14ac:dyDescent="0.25">
      <c r="A400" s="9">
        <v>27285</v>
      </c>
      <c r="B400" s="10" t="s">
        <v>20</v>
      </c>
      <c r="C400" s="10" t="s">
        <v>728</v>
      </c>
      <c r="D400" s="10" t="s">
        <v>1164</v>
      </c>
      <c r="E400" s="10" t="s">
        <v>745</v>
      </c>
      <c r="F400" s="10">
        <v>36.487096229999999</v>
      </c>
      <c r="G400" s="10">
        <v>41.869738030000001</v>
      </c>
      <c r="H400" s="11">
        <v>910</v>
      </c>
      <c r="I400" s="11">
        <v>5460</v>
      </c>
      <c r="J400" s="11"/>
      <c r="K400" s="11"/>
      <c r="L400" s="11"/>
      <c r="M400" s="11"/>
      <c r="N400" s="11">
        <v>910</v>
      </c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>
        <v>910</v>
      </c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>
        <v>910</v>
      </c>
      <c r="AP400" s="11"/>
      <c r="AQ400" s="11"/>
      <c r="AR400" s="11"/>
      <c r="AS400" s="11"/>
      <c r="AT400" s="20" t="str">
        <f>HYPERLINK("http://www.openstreetmap.org/?mlat=36.4871&amp;mlon=41.8697&amp;zoom=12#map=12/36.4871/41.8697","Maplink1")</f>
        <v>Maplink1</v>
      </c>
      <c r="AU400" s="20" t="str">
        <f>HYPERLINK("https://www.google.iq/maps/search/+36.4871,41.8697/@36.4871,41.8697,14z?hl=en","Maplink2")</f>
        <v>Maplink2</v>
      </c>
      <c r="AV400" s="20" t="str">
        <f>HYPERLINK("http://www.bing.com/maps/?lvl=14&amp;sty=h&amp;cp=36.4871~41.8697&amp;sp=point.36.4871_41.8697","Maplink3")</f>
        <v>Maplink3</v>
      </c>
    </row>
    <row r="401" spans="1:48" x14ac:dyDescent="0.25">
      <c r="A401" s="9">
        <v>27398</v>
      </c>
      <c r="B401" s="10" t="s">
        <v>20</v>
      </c>
      <c r="C401" s="10" t="s">
        <v>728</v>
      </c>
      <c r="D401" s="10" t="s">
        <v>746</v>
      </c>
      <c r="E401" s="10" t="s">
        <v>747</v>
      </c>
      <c r="F401" s="10">
        <v>36.394999540000001</v>
      </c>
      <c r="G401" s="10">
        <v>41.856769030000002</v>
      </c>
      <c r="H401" s="11">
        <v>3</v>
      </c>
      <c r="I401" s="11">
        <v>18</v>
      </c>
      <c r="J401" s="11"/>
      <c r="K401" s="11"/>
      <c r="L401" s="11"/>
      <c r="M401" s="11"/>
      <c r="N401" s="11">
        <v>3</v>
      </c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>
        <v>3</v>
      </c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>
        <v>3</v>
      </c>
      <c r="AP401" s="11"/>
      <c r="AQ401" s="11"/>
      <c r="AR401" s="11"/>
      <c r="AS401" s="11"/>
      <c r="AT401" s="20" t="str">
        <f>HYPERLINK("http://www.openstreetmap.org/?mlat=36.395&amp;mlon=41.8568&amp;zoom=12#map=12/36.395/41.8568","Maplink1")</f>
        <v>Maplink1</v>
      </c>
      <c r="AU401" s="20" t="str">
        <f>HYPERLINK("https://www.google.iq/maps/search/+36.395,41.8568/@36.395,41.8568,14z?hl=en","Maplink2")</f>
        <v>Maplink2</v>
      </c>
      <c r="AV401" s="20" t="str">
        <f>HYPERLINK("http://www.bing.com/maps/?lvl=14&amp;sty=h&amp;cp=36.395~41.8568&amp;sp=point.36.395_41.8568","Maplink3")</f>
        <v>Maplink3</v>
      </c>
    </row>
    <row r="402" spans="1:48" x14ac:dyDescent="0.25">
      <c r="A402" s="9">
        <v>28418</v>
      </c>
      <c r="B402" s="10" t="s">
        <v>20</v>
      </c>
      <c r="C402" s="10" t="s">
        <v>728</v>
      </c>
      <c r="D402" s="10" t="s">
        <v>748</v>
      </c>
      <c r="E402" s="10" t="s">
        <v>749</v>
      </c>
      <c r="F402" s="10">
        <v>36.37538464</v>
      </c>
      <c r="G402" s="10">
        <v>41.766305989999999</v>
      </c>
      <c r="H402" s="11">
        <v>5</v>
      </c>
      <c r="I402" s="11">
        <v>30</v>
      </c>
      <c r="J402" s="11"/>
      <c r="K402" s="11"/>
      <c r="L402" s="11"/>
      <c r="M402" s="11"/>
      <c r="N402" s="11">
        <v>5</v>
      </c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>
        <v>5</v>
      </c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>
        <v>5</v>
      </c>
      <c r="AP402" s="11"/>
      <c r="AQ402" s="11"/>
      <c r="AR402" s="11"/>
      <c r="AS402" s="11"/>
      <c r="AT402" s="20" t="str">
        <f>HYPERLINK("http://www.openstreetmap.org/?mlat=36.3754&amp;mlon=41.7663&amp;zoom=12#map=12/36.3754/41.7663","Maplink1")</f>
        <v>Maplink1</v>
      </c>
      <c r="AU402" s="20" t="str">
        <f>HYPERLINK("https://www.google.iq/maps/search/+36.3754,41.7663/@36.3754,41.7663,14z?hl=en","Maplink2")</f>
        <v>Maplink2</v>
      </c>
      <c r="AV402" s="20" t="str">
        <f>HYPERLINK("http://www.bing.com/maps/?lvl=14&amp;sty=h&amp;cp=36.3754~41.7663&amp;sp=point.36.3754_41.7663","Maplink3")</f>
        <v>Maplink3</v>
      </c>
    </row>
    <row r="403" spans="1:48" x14ac:dyDescent="0.25">
      <c r="A403" s="9">
        <v>27284</v>
      </c>
      <c r="B403" s="10" t="s">
        <v>20</v>
      </c>
      <c r="C403" s="10" t="s">
        <v>728</v>
      </c>
      <c r="D403" s="10" t="s">
        <v>750</v>
      </c>
      <c r="E403" s="10" t="s">
        <v>751</v>
      </c>
      <c r="F403" s="10">
        <v>36.490920780000003</v>
      </c>
      <c r="G403" s="10">
        <v>41.80661594</v>
      </c>
      <c r="H403" s="11">
        <v>393</v>
      </c>
      <c r="I403" s="11">
        <v>2358</v>
      </c>
      <c r="J403" s="11"/>
      <c r="K403" s="11"/>
      <c r="L403" s="11"/>
      <c r="M403" s="11"/>
      <c r="N403" s="11">
        <v>393</v>
      </c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>
        <v>393</v>
      </c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>
        <v>393</v>
      </c>
      <c r="AP403" s="11"/>
      <c r="AQ403" s="11"/>
      <c r="AR403" s="11"/>
      <c r="AS403" s="11"/>
      <c r="AT403" s="20" t="str">
        <f>HYPERLINK("http://www.openstreetmap.org/?mlat=36.4909&amp;mlon=41.8066&amp;zoom=12#map=12/36.4909/41.8066","Maplink1")</f>
        <v>Maplink1</v>
      </c>
      <c r="AU403" s="20" t="str">
        <f>HYPERLINK("https://www.google.iq/maps/search/+36.4909,41.8066/@36.4909,41.8066,14z?hl=en","Maplink2")</f>
        <v>Maplink2</v>
      </c>
      <c r="AV403" s="20" t="str">
        <f>HYPERLINK("http://www.bing.com/maps/?lvl=14&amp;sty=h&amp;cp=36.4909~41.8066&amp;sp=point.36.4909_41.8066","Maplink3")</f>
        <v>Maplink3</v>
      </c>
    </row>
    <row r="404" spans="1:48" x14ac:dyDescent="0.25">
      <c r="A404" s="9">
        <v>27283</v>
      </c>
      <c r="B404" s="10" t="s">
        <v>20</v>
      </c>
      <c r="C404" s="10" t="s">
        <v>728</v>
      </c>
      <c r="D404" s="10" t="s">
        <v>752</v>
      </c>
      <c r="E404" s="10" t="s">
        <v>753</v>
      </c>
      <c r="F404" s="10">
        <v>36.461001510000003</v>
      </c>
      <c r="G404" s="10">
        <v>41.738542039999999</v>
      </c>
      <c r="H404" s="11">
        <v>179</v>
      </c>
      <c r="I404" s="11">
        <v>1074</v>
      </c>
      <c r="J404" s="11"/>
      <c r="K404" s="11"/>
      <c r="L404" s="11"/>
      <c r="M404" s="11"/>
      <c r="N404" s="11">
        <v>179</v>
      </c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>
        <v>179</v>
      </c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>
        <v>179</v>
      </c>
      <c r="AP404" s="11"/>
      <c r="AQ404" s="11"/>
      <c r="AR404" s="11"/>
      <c r="AS404" s="11"/>
      <c r="AT404" s="20" t="str">
        <f>HYPERLINK("http://www.openstreetmap.org/?mlat=36.461&amp;mlon=41.7385&amp;zoom=12#map=12/36.461/41.7385","Maplink1")</f>
        <v>Maplink1</v>
      </c>
      <c r="AU404" s="20" t="str">
        <f>HYPERLINK("https://www.google.iq/maps/search/+36.461,41.7385/@36.461,41.7385,14z?hl=en","Maplink2")</f>
        <v>Maplink2</v>
      </c>
      <c r="AV404" s="20" t="str">
        <f>HYPERLINK("http://www.bing.com/maps/?lvl=14&amp;sty=h&amp;cp=36.461~41.7385&amp;sp=point.36.461_41.7385","Maplink3")</f>
        <v>Maplink3</v>
      </c>
    </row>
    <row r="405" spans="1:48" x14ac:dyDescent="0.25">
      <c r="A405" s="9">
        <v>28417</v>
      </c>
      <c r="B405" s="10" t="s">
        <v>20</v>
      </c>
      <c r="C405" s="10" t="s">
        <v>728</v>
      </c>
      <c r="D405" s="10" t="s">
        <v>754</v>
      </c>
      <c r="E405" s="10" t="s">
        <v>755</v>
      </c>
      <c r="F405" s="10">
        <v>36.420558440000001</v>
      </c>
      <c r="G405" s="10">
        <v>42.070781199999999</v>
      </c>
      <c r="H405" s="11">
        <v>8</v>
      </c>
      <c r="I405" s="11">
        <v>48</v>
      </c>
      <c r="J405" s="11"/>
      <c r="K405" s="11"/>
      <c r="L405" s="11"/>
      <c r="M405" s="11"/>
      <c r="N405" s="11">
        <v>8</v>
      </c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>
        <v>8</v>
      </c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>
        <v>8</v>
      </c>
      <c r="AP405" s="11"/>
      <c r="AQ405" s="11"/>
      <c r="AR405" s="11"/>
      <c r="AS405" s="11"/>
      <c r="AT405" s="20" t="str">
        <f>HYPERLINK("http://www.openstreetmap.org/?mlat=36.4206&amp;mlon=42.0708&amp;zoom=12#map=12/36.4206/42.0708","Maplink1")</f>
        <v>Maplink1</v>
      </c>
      <c r="AU405" s="20" t="str">
        <f>HYPERLINK("https://www.google.iq/maps/search/+36.4206,42.0708/@36.4206,42.0708,14z?hl=en","Maplink2")</f>
        <v>Maplink2</v>
      </c>
      <c r="AV405" s="20" t="str">
        <f>HYPERLINK("http://www.bing.com/maps/?lvl=14&amp;sty=h&amp;cp=36.4206~42.0708&amp;sp=point.36.4206_42.0708","Maplink3")</f>
        <v>Maplink3</v>
      </c>
    </row>
    <row r="406" spans="1:48" x14ac:dyDescent="0.25">
      <c r="A406" s="9">
        <v>28447</v>
      </c>
      <c r="B406" s="10" t="s">
        <v>20</v>
      </c>
      <c r="C406" s="10" t="s">
        <v>728</v>
      </c>
      <c r="D406" s="10" t="s">
        <v>756</v>
      </c>
      <c r="E406" s="10" t="s">
        <v>757</v>
      </c>
      <c r="F406" s="10">
        <v>36.458525739999999</v>
      </c>
      <c r="G406" s="10">
        <v>41.862916370000001</v>
      </c>
      <c r="H406" s="11">
        <v>52</v>
      </c>
      <c r="I406" s="11">
        <v>312</v>
      </c>
      <c r="J406" s="11"/>
      <c r="K406" s="11"/>
      <c r="L406" s="11"/>
      <c r="M406" s="11"/>
      <c r="N406" s="11">
        <v>52</v>
      </c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>
        <v>52</v>
      </c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>
        <v>52</v>
      </c>
      <c r="AP406" s="11"/>
      <c r="AQ406" s="11"/>
      <c r="AR406" s="11"/>
      <c r="AS406" s="11"/>
      <c r="AT406" s="20" t="str">
        <f>HYPERLINK("http://www.openstreetmap.org/?mlat=36.4585&amp;mlon=41.8629&amp;zoom=12#map=12/36.4585/41.8629","Maplink1")</f>
        <v>Maplink1</v>
      </c>
      <c r="AU406" s="20" t="str">
        <f>HYPERLINK("https://www.google.iq/maps/search/+36.4585,41.8629/@36.4585,41.8629,14z?hl=en","Maplink2")</f>
        <v>Maplink2</v>
      </c>
      <c r="AV406" s="20" t="str">
        <f>HYPERLINK("http://www.bing.com/maps/?lvl=14&amp;sty=h&amp;cp=36.4585~41.8629&amp;sp=point.36.4585_41.8629","Maplink3")</f>
        <v>Maplink3</v>
      </c>
    </row>
    <row r="407" spans="1:48" x14ac:dyDescent="0.25">
      <c r="A407" s="9">
        <v>18048</v>
      </c>
      <c r="B407" s="10" t="s">
        <v>20</v>
      </c>
      <c r="C407" s="10" t="s">
        <v>728</v>
      </c>
      <c r="D407" s="10" t="s">
        <v>758</v>
      </c>
      <c r="E407" s="10" t="s">
        <v>759</v>
      </c>
      <c r="F407" s="10">
        <v>36.514294509999999</v>
      </c>
      <c r="G407" s="10">
        <v>41.96182108</v>
      </c>
      <c r="H407" s="11">
        <v>294</v>
      </c>
      <c r="I407" s="11">
        <v>1764</v>
      </c>
      <c r="J407" s="11"/>
      <c r="K407" s="11"/>
      <c r="L407" s="11"/>
      <c r="M407" s="11"/>
      <c r="N407" s="11">
        <v>294</v>
      </c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>
        <v>294</v>
      </c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>
        <v>294</v>
      </c>
      <c r="AP407" s="11"/>
      <c r="AQ407" s="11"/>
      <c r="AR407" s="11"/>
      <c r="AS407" s="11"/>
      <c r="AT407" s="20" t="str">
        <f>HYPERLINK("http://www.openstreetmap.org/?mlat=36.5143&amp;mlon=41.9618&amp;zoom=12#map=12/36.5143/41.9618","Maplink1")</f>
        <v>Maplink1</v>
      </c>
      <c r="AU407" s="20" t="str">
        <f>HYPERLINK("https://www.google.iq/maps/search/+36.5143,41.9618/@36.5143,41.9618,14z?hl=en","Maplink2")</f>
        <v>Maplink2</v>
      </c>
      <c r="AV407" s="20" t="str">
        <f>HYPERLINK("http://www.bing.com/maps/?lvl=14&amp;sty=h&amp;cp=36.5143~41.9618&amp;sp=point.36.5143_41.9618","Maplink3")</f>
        <v>Maplink3</v>
      </c>
    </row>
    <row r="408" spans="1:48" x14ac:dyDescent="0.25">
      <c r="A408" s="9">
        <v>27401</v>
      </c>
      <c r="B408" s="10" t="s">
        <v>20</v>
      </c>
      <c r="C408" s="10" t="s">
        <v>728</v>
      </c>
      <c r="D408" s="10" t="s">
        <v>760</v>
      </c>
      <c r="E408" s="10" t="s">
        <v>761</v>
      </c>
      <c r="F408" s="10">
        <v>36.434344850000002</v>
      </c>
      <c r="G408" s="10">
        <v>41.586858409999998</v>
      </c>
      <c r="H408" s="11">
        <v>40</v>
      </c>
      <c r="I408" s="11">
        <v>240</v>
      </c>
      <c r="J408" s="11"/>
      <c r="K408" s="11"/>
      <c r="L408" s="11"/>
      <c r="M408" s="11"/>
      <c r="N408" s="11">
        <v>40</v>
      </c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>
        <v>40</v>
      </c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>
        <v>40</v>
      </c>
      <c r="AP408" s="11"/>
      <c r="AQ408" s="11"/>
      <c r="AR408" s="11"/>
      <c r="AS408" s="11"/>
      <c r="AT408" s="20" t="str">
        <f>HYPERLINK("http://www.openstreetmap.org/?mlat=36.4343&amp;mlon=41.5869&amp;zoom=12#map=12/36.4343/41.5869","Maplink1")</f>
        <v>Maplink1</v>
      </c>
      <c r="AU408" s="20" t="str">
        <f>HYPERLINK("https://www.google.iq/maps/search/+36.4343,41.5869/@36.4343,41.5869,14z?hl=en","Maplink2")</f>
        <v>Maplink2</v>
      </c>
      <c r="AV408" s="20" t="str">
        <f>HYPERLINK("http://www.bing.com/maps/?lvl=14&amp;sty=h&amp;cp=36.4343~41.5869&amp;sp=point.36.4343_41.5869","Maplink3")</f>
        <v>Maplink3</v>
      </c>
    </row>
    <row r="409" spans="1:48" x14ac:dyDescent="0.25">
      <c r="A409" s="9">
        <v>22490</v>
      </c>
      <c r="B409" s="10" t="s">
        <v>20</v>
      </c>
      <c r="C409" s="10" t="s">
        <v>728</v>
      </c>
      <c r="D409" s="10" t="s">
        <v>762</v>
      </c>
      <c r="E409" s="10" t="s">
        <v>763</v>
      </c>
      <c r="F409" s="10">
        <v>36.320941619999999</v>
      </c>
      <c r="G409" s="10">
        <v>41.850862540000001</v>
      </c>
      <c r="H409" s="11">
        <v>69</v>
      </c>
      <c r="I409" s="11">
        <v>414</v>
      </c>
      <c r="J409" s="11"/>
      <c r="K409" s="11"/>
      <c r="L409" s="11"/>
      <c r="M409" s="11"/>
      <c r="N409" s="11">
        <v>69</v>
      </c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>
        <v>16</v>
      </c>
      <c r="AD409" s="11">
        <v>53</v>
      </c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>
        <v>69</v>
      </c>
      <c r="AP409" s="11"/>
      <c r="AQ409" s="11"/>
      <c r="AR409" s="11"/>
      <c r="AS409" s="11"/>
      <c r="AT409" s="20" t="str">
        <f>HYPERLINK("http://www.openstreetmap.org/?mlat=36.3209&amp;mlon=41.8509&amp;zoom=12#map=12/36.3209/41.8509","Maplink1")</f>
        <v>Maplink1</v>
      </c>
      <c r="AU409" s="20" t="str">
        <f>HYPERLINK("https://www.google.iq/maps/search/+36.3209,41.8509/@36.3209,41.8509,14z?hl=en","Maplink2")</f>
        <v>Maplink2</v>
      </c>
      <c r="AV409" s="20" t="str">
        <f>HYPERLINK("http://www.bing.com/maps/?lvl=14&amp;sty=h&amp;cp=36.3209~41.8509&amp;sp=point.36.3209_41.8509","Maplink3")</f>
        <v>Maplink3</v>
      </c>
    </row>
    <row r="410" spans="1:48" x14ac:dyDescent="0.25">
      <c r="A410" s="9">
        <v>22487</v>
      </c>
      <c r="B410" s="10" t="s">
        <v>20</v>
      </c>
      <c r="C410" s="10" t="s">
        <v>728</v>
      </c>
      <c r="D410" s="10" t="s">
        <v>764</v>
      </c>
      <c r="E410" s="10" t="s">
        <v>765</v>
      </c>
      <c r="F410" s="10">
        <v>36.31653</v>
      </c>
      <c r="G410" s="10">
        <v>41.855130000000003</v>
      </c>
      <c r="H410" s="11">
        <v>41</v>
      </c>
      <c r="I410" s="11">
        <v>246</v>
      </c>
      <c r="J410" s="11"/>
      <c r="K410" s="11"/>
      <c r="L410" s="11"/>
      <c r="M410" s="11"/>
      <c r="N410" s="11">
        <v>41</v>
      </c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>
        <v>24</v>
      </c>
      <c r="AD410" s="11">
        <v>17</v>
      </c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>
        <v>41</v>
      </c>
      <c r="AP410" s="11"/>
      <c r="AQ410" s="11"/>
      <c r="AR410" s="11"/>
      <c r="AS410" s="11"/>
      <c r="AT410" s="20" t="str">
        <f>HYPERLINK("http://www.openstreetmap.org/?mlat=36.3165&amp;mlon=41.8551&amp;zoom=12#map=12/36.3165/41.8551","Maplink1")</f>
        <v>Maplink1</v>
      </c>
      <c r="AU410" s="20" t="str">
        <f>HYPERLINK("https://www.google.iq/maps/search/+36.3165,41.8551/@36.3165,41.8551,14z?hl=en","Maplink2")</f>
        <v>Maplink2</v>
      </c>
      <c r="AV410" s="20" t="str">
        <f>HYPERLINK("http://www.bing.com/maps/?lvl=14&amp;sty=h&amp;cp=36.3165~41.8551&amp;sp=point.36.3165_41.8551","Maplink3")</f>
        <v>Maplink3</v>
      </c>
    </row>
    <row r="411" spans="1:48" x14ac:dyDescent="0.25">
      <c r="A411" s="9">
        <v>22484</v>
      </c>
      <c r="B411" s="10" t="s">
        <v>20</v>
      </c>
      <c r="C411" s="10" t="s">
        <v>728</v>
      </c>
      <c r="D411" s="10" t="s">
        <v>766</v>
      </c>
      <c r="E411" s="10" t="s">
        <v>767</v>
      </c>
      <c r="F411" s="10">
        <v>36.332979999999999</v>
      </c>
      <c r="G411" s="10">
        <v>41.8568</v>
      </c>
      <c r="H411" s="11">
        <v>45</v>
      </c>
      <c r="I411" s="11">
        <v>270</v>
      </c>
      <c r="J411" s="11"/>
      <c r="K411" s="11"/>
      <c r="L411" s="11"/>
      <c r="M411" s="11"/>
      <c r="N411" s="11">
        <v>45</v>
      </c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>
        <v>10</v>
      </c>
      <c r="AD411" s="11">
        <v>35</v>
      </c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>
        <v>45</v>
      </c>
      <c r="AP411" s="11"/>
      <c r="AQ411" s="11"/>
      <c r="AR411" s="11"/>
      <c r="AS411" s="11"/>
      <c r="AT411" s="20" t="str">
        <f>HYPERLINK("http://www.openstreetmap.org/?mlat=36.333&amp;mlon=41.8568&amp;zoom=12#map=12/36.333/41.8568","Maplink1")</f>
        <v>Maplink1</v>
      </c>
      <c r="AU411" s="20" t="str">
        <f>HYPERLINK("https://www.google.iq/maps/search/+36.333,41.8568/@36.333,41.8568,14z?hl=en","Maplink2")</f>
        <v>Maplink2</v>
      </c>
      <c r="AV411" s="20" t="str">
        <f>HYPERLINK("http://www.bing.com/maps/?lvl=14&amp;sty=h&amp;cp=36.333~41.8568&amp;sp=point.36.333_41.8568","Maplink3")</f>
        <v>Maplink3</v>
      </c>
    </row>
    <row r="412" spans="1:48" x14ac:dyDescent="0.25">
      <c r="A412" s="9">
        <v>29676</v>
      </c>
      <c r="B412" s="10" t="s">
        <v>20</v>
      </c>
      <c r="C412" s="10" t="s">
        <v>728</v>
      </c>
      <c r="D412" s="10" t="s">
        <v>768</v>
      </c>
      <c r="E412" s="10" t="s">
        <v>769</v>
      </c>
      <c r="F412" s="10">
        <v>36.322040000000001</v>
      </c>
      <c r="G412" s="10">
        <v>41.865920000000003</v>
      </c>
      <c r="H412" s="11">
        <v>38</v>
      </c>
      <c r="I412" s="11">
        <v>228</v>
      </c>
      <c r="J412" s="11"/>
      <c r="K412" s="11"/>
      <c r="L412" s="11"/>
      <c r="M412" s="11"/>
      <c r="N412" s="11">
        <v>38</v>
      </c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>
        <v>8</v>
      </c>
      <c r="AD412" s="11">
        <v>30</v>
      </c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>
        <v>38</v>
      </c>
      <c r="AP412" s="11"/>
      <c r="AQ412" s="11"/>
      <c r="AR412" s="11"/>
      <c r="AS412" s="11"/>
      <c r="AT412" s="20" t="str">
        <f>HYPERLINK("http://www.openstreetmap.org/?mlat=36.322&amp;mlon=41.8659&amp;zoom=12#map=12/36.322/41.8659","Maplink1")</f>
        <v>Maplink1</v>
      </c>
      <c r="AU412" s="20" t="str">
        <f>HYPERLINK("https://www.google.iq/maps/search/+36.322,41.8659/@36.322,41.8659,14z?hl=en","Maplink2")</f>
        <v>Maplink2</v>
      </c>
      <c r="AV412" s="20" t="str">
        <f>HYPERLINK("http://www.bing.com/maps/?lvl=14&amp;sty=h&amp;cp=36.322~41.8659&amp;sp=point.36.322_41.8659","Maplink3")</f>
        <v>Maplink3</v>
      </c>
    </row>
    <row r="413" spans="1:48" x14ac:dyDescent="0.25">
      <c r="A413" s="9">
        <v>27288</v>
      </c>
      <c r="B413" s="10" t="s">
        <v>20</v>
      </c>
      <c r="C413" s="10" t="s">
        <v>728</v>
      </c>
      <c r="D413" s="10" t="s">
        <v>770</v>
      </c>
      <c r="E413" s="10" t="s">
        <v>771</v>
      </c>
      <c r="F413" s="10">
        <v>36.376993800000001</v>
      </c>
      <c r="G413" s="10">
        <v>41.68756913</v>
      </c>
      <c r="H413" s="11">
        <v>125</v>
      </c>
      <c r="I413" s="11">
        <v>750</v>
      </c>
      <c r="J413" s="11"/>
      <c r="K413" s="11"/>
      <c r="L413" s="11"/>
      <c r="M413" s="11"/>
      <c r="N413" s="11">
        <v>125</v>
      </c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>
        <v>125</v>
      </c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>
        <v>125</v>
      </c>
      <c r="AP413" s="11"/>
      <c r="AQ413" s="11"/>
      <c r="AR413" s="11"/>
      <c r="AS413" s="11"/>
      <c r="AT413" s="20" t="str">
        <f>HYPERLINK("http://www.openstreetmap.org/?mlat=36.377&amp;mlon=41.6876&amp;zoom=12#map=12/36.377/41.6876","Maplink1")</f>
        <v>Maplink1</v>
      </c>
      <c r="AU413" s="20" t="str">
        <f>HYPERLINK("https://www.google.iq/maps/search/+36.377,41.6876/@36.377,41.6876,14z?hl=en","Maplink2")</f>
        <v>Maplink2</v>
      </c>
      <c r="AV413" s="20" t="str">
        <f>HYPERLINK("http://www.bing.com/maps/?lvl=14&amp;sty=h&amp;cp=36.377~41.6876&amp;sp=point.36.377_41.6876","Maplink3")</f>
        <v>Maplink3</v>
      </c>
    </row>
    <row r="414" spans="1:48" x14ac:dyDescent="0.25">
      <c r="A414" s="9">
        <v>17845</v>
      </c>
      <c r="B414" s="10" t="s">
        <v>20</v>
      </c>
      <c r="C414" s="10" t="s">
        <v>728</v>
      </c>
      <c r="D414" s="10" t="s">
        <v>772</v>
      </c>
      <c r="E414" s="10" t="s">
        <v>773</v>
      </c>
      <c r="F414" s="10">
        <v>36.46575215</v>
      </c>
      <c r="G414" s="10">
        <v>41.627610390000001</v>
      </c>
      <c r="H414" s="11">
        <v>517</v>
      </c>
      <c r="I414" s="11">
        <v>3102</v>
      </c>
      <c r="J414" s="11"/>
      <c r="K414" s="11"/>
      <c r="L414" s="11"/>
      <c r="M414" s="11"/>
      <c r="N414" s="11">
        <v>517</v>
      </c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>
        <v>517</v>
      </c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>
        <v>517</v>
      </c>
      <c r="AP414" s="11"/>
      <c r="AQ414" s="11"/>
      <c r="AR414" s="11"/>
      <c r="AS414" s="11"/>
      <c r="AT414" s="20" t="str">
        <f>HYPERLINK("http://www.openstreetmap.org/?mlat=36.4658&amp;mlon=41.6276&amp;zoom=12#map=12/36.4658/41.6276","Maplink1")</f>
        <v>Maplink1</v>
      </c>
      <c r="AU414" s="20" t="str">
        <f>HYPERLINK("https://www.google.iq/maps/search/+36.4658,41.6276/@36.4658,41.6276,14z?hl=en","Maplink2")</f>
        <v>Maplink2</v>
      </c>
      <c r="AV414" s="20" t="str">
        <f>HYPERLINK("http://www.bing.com/maps/?lvl=14&amp;sty=h&amp;cp=36.4658~41.6276&amp;sp=point.36.4658_41.6276","Maplink3")</f>
        <v>Maplink3</v>
      </c>
    </row>
    <row r="415" spans="1:48" x14ac:dyDescent="0.25">
      <c r="A415" s="9">
        <v>27358</v>
      </c>
      <c r="B415" s="10" t="s">
        <v>20</v>
      </c>
      <c r="C415" s="10" t="s">
        <v>728</v>
      </c>
      <c r="D415" s="10" t="s">
        <v>774</v>
      </c>
      <c r="E415" s="10" t="s">
        <v>775</v>
      </c>
      <c r="F415" s="10">
        <v>36.36955837</v>
      </c>
      <c r="G415" s="10">
        <v>41.72378561</v>
      </c>
      <c r="H415" s="11">
        <v>140</v>
      </c>
      <c r="I415" s="11">
        <v>840</v>
      </c>
      <c r="J415" s="11"/>
      <c r="K415" s="11"/>
      <c r="L415" s="11"/>
      <c r="M415" s="11"/>
      <c r="N415" s="11">
        <v>140</v>
      </c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>
        <v>140</v>
      </c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>
        <v>140</v>
      </c>
      <c r="AP415" s="11"/>
      <c r="AQ415" s="11"/>
      <c r="AR415" s="11"/>
      <c r="AS415" s="11"/>
      <c r="AT415" s="20" t="str">
        <f>HYPERLINK("http://www.openstreetmap.org/?mlat=36.3696&amp;mlon=41.7238&amp;zoom=12#map=12/36.3696/41.7238","Maplink1")</f>
        <v>Maplink1</v>
      </c>
      <c r="AU415" s="20" t="str">
        <f>HYPERLINK("https://www.google.iq/maps/search/+36.3696,41.7238/@36.3696,41.7238,14z?hl=en","Maplink2")</f>
        <v>Maplink2</v>
      </c>
      <c r="AV415" s="20" t="str">
        <f>HYPERLINK("http://www.bing.com/maps/?lvl=14&amp;sty=h&amp;cp=36.3696~41.7238&amp;sp=point.36.3696_41.7238","Maplink3")</f>
        <v>Maplink3</v>
      </c>
    </row>
    <row r="416" spans="1:48" x14ac:dyDescent="0.25">
      <c r="A416" s="9">
        <v>27364</v>
      </c>
      <c r="B416" s="10" t="s">
        <v>20</v>
      </c>
      <c r="C416" s="10" t="s">
        <v>728</v>
      </c>
      <c r="D416" s="10" t="s">
        <v>776</v>
      </c>
      <c r="E416" s="10" t="s">
        <v>777</v>
      </c>
      <c r="F416" s="10">
        <v>36.377903250000003</v>
      </c>
      <c r="G416" s="10">
        <v>41.698554170000001</v>
      </c>
      <c r="H416" s="11">
        <v>30</v>
      </c>
      <c r="I416" s="11">
        <v>180</v>
      </c>
      <c r="J416" s="11"/>
      <c r="K416" s="11"/>
      <c r="L416" s="11"/>
      <c r="M416" s="11"/>
      <c r="N416" s="11">
        <v>30</v>
      </c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>
        <v>30</v>
      </c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>
        <v>30</v>
      </c>
      <c r="AP416" s="11"/>
      <c r="AQ416" s="11"/>
      <c r="AR416" s="11"/>
      <c r="AS416" s="11"/>
      <c r="AT416" s="20" t="str">
        <f>HYPERLINK("http://www.openstreetmap.org/?mlat=36.3779&amp;mlon=41.6986&amp;zoom=12#map=12/36.3779/41.6986","Maplink1")</f>
        <v>Maplink1</v>
      </c>
      <c r="AU416" s="20" t="str">
        <f>HYPERLINK("https://www.google.iq/maps/search/+36.3779,41.6986/@36.3779,41.6986,14z?hl=en","Maplink2")</f>
        <v>Maplink2</v>
      </c>
      <c r="AV416" s="20" t="str">
        <f>HYPERLINK("http://www.bing.com/maps/?lvl=14&amp;sty=h&amp;cp=36.3779~41.6986&amp;sp=point.36.3779_41.6986","Maplink3")</f>
        <v>Maplink3</v>
      </c>
    </row>
    <row r="417" spans="1:48" x14ac:dyDescent="0.25">
      <c r="A417" s="9">
        <v>27397</v>
      </c>
      <c r="B417" s="10" t="s">
        <v>20</v>
      </c>
      <c r="C417" s="10" t="s">
        <v>728</v>
      </c>
      <c r="D417" s="10" t="s">
        <v>778</v>
      </c>
      <c r="E417" s="10" t="s">
        <v>779</v>
      </c>
      <c r="F417" s="10">
        <v>36.416859670000001</v>
      </c>
      <c r="G417" s="10">
        <v>41.893854849999997</v>
      </c>
      <c r="H417" s="11">
        <v>44</v>
      </c>
      <c r="I417" s="11">
        <v>264</v>
      </c>
      <c r="J417" s="11"/>
      <c r="K417" s="11"/>
      <c r="L417" s="11"/>
      <c r="M417" s="11"/>
      <c r="N417" s="11">
        <v>44</v>
      </c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>
        <v>24</v>
      </c>
      <c r="AD417" s="11"/>
      <c r="AE417" s="11"/>
      <c r="AF417" s="11">
        <v>20</v>
      </c>
      <c r="AG417" s="11"/>
      <c r="AH417" s="11"/>
      <c r="AI417" s="11"/>
      <c r="AJ417" s="11"/>
      <c r="AK417" s="11"/>
      <c r="AL417" s="11"/>
      <c r="AM417" s="11"/>
      <c r="AN417" s="11"/>
      <c r="AO417" s="11">
        <v>44</v>
      </c>
      <c r="AP417" s="11"/>
      <c r="AQ417" s="11"/>
      <c r="AR417" s="11"/>
      <c r="AS417" s="11"/>
      <c r="AT417" s="20" t="str">
        <f>HYPERLINK("http://www.openstreetmap.org/?mlat=36.4169&amp;mlon=41.8939&amp;zoom=12#map=12/36.4169/41.8939","Maplink1")</f>
        <v>Maplink1</v>
      </c>
      <c r="AU417" s="20" t="str">
        <f>HYPERLINK("https://www.google.iq/maps/search/+36.4169,41.8939/@36.4169,41.8939,14z?hl=en","Maplink2")</f>
        <v>Maplink2</v>
      </c>
      <c r="AV417" s="20" t="str">
        <f>HYPERLINK("http://www.bing.com/maps/?lvl=14&amp;sty=h&amp;cp=36.4169~41.8939&amp;sp=point.36.4169_41.8939","Maplink3")</f>
        <v>Maplink3</v>
      </c>
    </row>
    <row r="418" spans="1:48" x14ac:dyDescent="0.25">
      <c r="A418" s="9">
        <v>27363</v>
      </c>
      <c r="B418" s="10" t="s">
        <v>20</v>
      </c>
      <c r="C418" s="10" t="s">
        <v>728</v>
      </c>
      <c r="D418" s="10" t="s">
        <v>780</v>
      </c>
      <c r="E418" s="10" t="s">
        <v>781</v>
      </c>
      <c r="F418" s="10">
        <v>36.417146760000001</v>
      </c>
      <c r="G418" s="10">
        <v>41.883773150000003</v>
      </c>
      <c r="H418" s="11">
        <v>49</v>
      </c>
      <c r="I418" s="11">
        <v>294</v>
      </c>
      <c r="J418" s="11"/>
      <c r="K418" s="11"/>
      <c r="L418" s="11"/>
      <c r="M418" s="11"/>
      <c r="N418" s="11">
        <v>49</v>
      </c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>
        <v>33</v>
      </c>
      <c r="AD418" s="11"/>
      <c r="AE418" s="11"/>
      <c r="AF418" s="11">
        <v>11</v>
      </c>
      <c r="AG418" s="11"/>
      <c r="AH418" s="11"/>
      <c r="AI418" s="11"/>
      <c r="AJ418" s="11"/>
      <c r="AK418" s="11">
        <v>5</v>
      </c>
      <c r="AL418" s="11"/>
      <c r="AM418" s="11"/>
      <c r="AN418" s="11"/>
      <c r="AO418" s="11">
        <v>49</v>
      </c>
      <c r="AP418" s="11"/>
      <c r="AQ418" s="11"/>
      <c r="AR418" s="11"/>
      <c r="AS418" s="11"/>
      <c r="AT418" s="20" t="str">
        <f>HYPERLINK("http://www.openstreetmap.org/?mlat=36.4171&amp;mlon=41.8838&amp;zoom=12#map=12/36.4171/41.8838","Maplink1")</f>
        <v>Maplink1</v>
      </c>
      <c r="AU418" s="20" t="str">
        <f>HYPERLINK("https://www.google.iq/maps/search/+36.4171,41.8838/@36.4171,41.8838,14z?hl=en","Maplink2")</f>
        <v>Maplink2</v>
      </c>
      <c r="AV418" s="20" t="str">
        <f>HYPERLINK("http://www.bing.com/maps/?lvl=14&amp;sty=h&amp;cp=36.4171~41.8838&amp;sp=point.36.4171_41.8838","Maplink3")</f>
        <v>Maplink3</v>
      </c>
    </row>
    <row r="419" spans="1:48" x14ac:dyDescent="0.25">
      <c r="A419" s="9">
        <v>29603</v>
      </c>
      <c r="B419" s="10" t="s">
        <v>20</v>
      </c>
      <c r="C419" s="10" t="s">
        <v>728</v>
      </c>
      <c r="D419" s="10" t="s">
        <v>782</v>
      </c>
      <c r="E419" s="10" t="s">
        <v>783</v>
      </c>
      <c r="F419" s="10">
        <v>36.345939999999999</v>
      </c>
      <c r="G419" s="10">
        <v>41.850740000000002</v>
      </c>
      <c r="H419" s="11">
        <v>98</v>
      </c>
      <c r="I419" s="11">
        <v>588</v>
      </c>
      <c r="J419" s="11"/>
      <c r="K419" s="11"/>
      <c r="L419" s="11"/>
      <c r="M419" s="11"/>
      <c r="N419" s="11">
        <v>98</v>
      </c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>
        <v>55</v>
      </c>
      <c r="AD419" s="11">
        <v>43</v>
      </c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>
        <v>98</v>
      </c>
      <c r="AP419" s="11"/>
      <c r="AQ419" s="11"/>
      <c r="AR419" s="11"/>
      <c r="AS419" s="11"/>
      <c r="AT419" s="20" t="str">
        <f>HYPERLINK("http://www.openstreetmap.org/?mlat=36.3459&amp;mlon=41.8507&amp;zoom=12#map=12/36.3459/41.8507","Maplink1")</f>
        <v>Maplink1</v>
      </c>
      <c r="AU419" s="20" t="str">
        <f>HYPERLINK("https://www.google.iq/maps/search/+36.3459,41.8507/@36.3459,41.8507,14z?hl=en","Maplink2")</f>
        <v>Maplink2</v>
      </c>
      <c r="AV419" s="20" t="str">
        <f>HYPERLINK("http://www.bing.com/maps/?lvl=14&amp;sty=h&amp;cp=36.3459~41.8507&amp;sp=point.36.3459_41.8507","Maplink3")</f>
        <v>Maplink3</v>
      </c>
    </row>
    <row r="420" spans="1:48" x14ac:dyDescent="0.25">
      <c r="A420" s="9">
        <v>17694</v>
      </c>
      <c r="B420" s="10" t="s">
        <v>20</v>
      </c>
      <c r="C420" s="10" t="s">
        <v>728</v>
      </c>
      <c r="D420" s="10" t="s">
        <v>784</v>
      </c>
      <c r="E420" s="10" t="s">
        <v>785</v>
      </c>
      <c r="F420" s="10">
        <v>36.440846270000002</v>
      </c>
      <c r="G420" s="10">
        <v>41.76676879</v>
      </c>
      <c r="H420" s="11">
        <v>21</v>
      </c>
      <c r="I420" s="11">
        <v>126</v>
      </c>
      <c r="J420" s="11"/>
      <c r="K420" s="11"/>
      <c r="L420" s="11"/>
      <c r="M420" s="11"/>
      <c r="N420" s="11">
        <v>21</v>
      </c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>
        <v>21</v>
      </c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>
        <v>21</v>
      </c>
      <c r="AP420" s="11"/>
      <c r="AQ420" s="11"/>
      <c r="AR420" s="11"/>
      <c r="AS420" s="11"/>
      <c r="AT420" s="20" t="str">
        <f>HYPERLINK("http://www.openstreetmap.org/?mlat=36.4408&amp;mlon=41.7668&amp;zoom=12#map=12/36.4408/41.7668","Maplink1")</f>
        <v>Maplink1</v>
      </c>
      <c r="AU420" s="20" t="str">
        <f>HYPERLINK("https://www.google.iq/maps/search/+36.4408,41.7668/@36.4408,41.7668,14z?hl=en","Maplink2")</f>
        <v>Maplink2</v>
      </c>
      <c r="AV420" s="20" t="str">
        <f>HYPERLINK("http://www.bing.com/maps/?lvl=14&amp;sty=h&amp;cp=36.4408~41.7668&amp;sp=point.36.4408_41.7668","Maplink3")</f>
        <v>Maplink3</v>
      </c>
    </row>
    <row r="421" spans="1:48" x14ac:dyDescent="0.25">
      <c r="A421" s="9">
        <v>27362</v>
      </c>
      <c r="B421" s="10" t="s">
        <v>20</v>
      </c>
      <c r="C421" s="10" t="s">
        <v>728</v>
      </c>
      <c r="D421" s="10" t="s">
        <v>786</v>
      </c>
      <c r="E421" s="10" t="s">
        <v>787</v>
      </c>
      <c r="F421" s="10">
        <v>36.394219999999997</v>
      </c>
      <c r="G421" s="10">
        <v>41.819961999999997</v>
      </c>
      <c r="H421" s="11">
        <v>11</v>
      </c>
      <c r="I421" s="11">
        <v>66</v>
      </c>
      <c r="J421" s="11"/>
      <c r="K421" s="11"/>
      <c r="L421" s="11"/>
      <c r="M421" s="11"/>
      <c r="N421" s="11">
        <v>11</v>
      </c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>
        <v>11</v>
      </c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>
        <v>11</v>
      </c>
      <c r="AP421" s="11"/>
      <c r="AQ421" s="11"/>
      <c r="AR421" s="11"/>
      <c r="AS421" s="11"/>
      <c r="AT421" s="20" t="str">
        <f>HYPERLINK("http://www.openstreetmap.org/?mlat=36.3942&amp;mlon=41.82&amp;zoom=12#map=12/36.3942/41.82","Maplink1")</f>
        <v>Maplink1</v>
      </c>
      <c r="AU421" s="20" t="str">
        <f>HYPERLINK("https://www.google.iq/maps/search/+36.3942,41.82/@36.3942,41.82,14z?hl=en","Maplink2")</f>
        <v>Maplink2</v>
      </c>
      <c r="AV421" s="20" t="str">
        <f>HYPERLINK("http://www.bing.com/maps/?lvl=14&amp;sty=h&amp;cp=36.3942~41.82&amp;sp=point.36.3942_41.82","Maplink3")</f>
        <v>Maplink3</v>
      </c>
    </row>
    <row r="422" spans="1:48" x14ac:dyDescent="0.25">
      <c r="A422" s="9">
        <v>27359</v>
      </c>
      <c r="B422" s="10" t="s">
        <v>20</v>
      </c>
      <c r="C422" s="10" t="s">
        <v>728</v>
      </c>
      <c r="D422" s="10" t="s">
        <v>788</v>
      </c>
      <c r="E422" s="10" t="s">
        <v>789</v>
      </c>
      <c r="F422" s="10">
        <v>36.372494570000001</v>
      </c>
      <c r="G422" s="10">
        <v>41.717848369999999</v>
      </c>
      <c r="H422" s="11">
        <v>44</v>
      </c>
      <c r="I422" s="11">
        <v>264</v>
      </c>
      <c r="J422" s="11"/>
      <c r="K422" s="11"/>
      <c r="L422" s="11"/>
      <c r="M422" s="11"/>
      <c r="N422" s="11">
        <v>44</v>
      </c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>
        <v>44</v>
      </c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>
        <v>44</v>
      </c>
      <c r="AP422" s="11"/>
      <c r="AQ422" s="11"/>
      <c r="AR422" s="11"/>
      <c r="AS422" s="11"/>
      <c r="AT422" s="20" t="str">
        <f>HYPERLINK("http://www.openstreetmap.org/?mlat=36.3725&amp;mlon=41.7178&amp;zoom=12#map=12/36.3725/41.7178","Maplink1")</f>
        <v>Maplink1</v>
      </c>
      <c r="AU422" s="20" t="str">
        <f>HYPERLINK("https://www.google.iq/maps/search/+36.3725,41.7178/@36.3725,41.7178,14z?hl=en","Maplink2")</f>
        <v>Maplink2</v>
      </c>
      <c r="AV422" s="20" t="str">
        <f>HYPERLINK("http://www.bing.com/maps/?lvl=14&amp;sty=h&amp;cp=36.3725~41.7178&amp;sp=point.36.3725_41.7178","Maplink3")</f>
        <v>Maplink3</v>
      </c>
    </row>
    <row r="423" spans="1:48" x14ac:dyDescent="0.25">
      <c r="A423" s="9">
        <v>27399</v>
      </c>
      <c r="B423" s="10" t="s">
        <v>20</v>
      </c>
      <c r="C423" s="10" t="s">
        <v>728</v>
      </c>
      <c r="D423" s="10" t="s">
        <v>790</v>
      </c>
      <c r="E423" s="10" t="s">
        <v>791</v>
      </c>
      <c r="F423" s="10">
        <v>36.429950669999997</v>
      </c>
      <c r="G423" s="10">
        <v>41.868081879999998</v>
      </c>
      <c r="H423" s="11">
        <v>167</v>
      </c>
      <c r="I423" s="11">
        <v>1002</v>
      </c>
      <c r="J423" s="11"/>
      <c r="K423" s="11"/>
      <c r="L423" s="11"/>
      <c r="M423" s="11"/>
      <c r="N423" s="11">
        <v>167</v>
      </c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>
        <v>167</v>
      </c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>
        <v>167</v>
      </c>
      <c r="AP423" s="11"/>
      <c r="AQ423" s="11"/>
      <c r="AR423" s="11"/>
      <c r="AS423" s="11"/>
      <c r="AT423" s="20" t="str">
        <f>HYPERLINK("http://www.openstreetmap.org/?mlat=36.43&amp;mlon=41.8681&amp;zoom=12#map=12/36.43/41.8681","Maplink1")</f>
        <v>Maplink1</v>
      </c>
      <c r="AU423" s="20" t="str">
        <f>HYPERLINK("https://www.google.iq/maps/search/+36.43,41.8681/@36.43,41.8681,14z?hl=en","Maplink2")</f>
        <v>Maplink2</v>
      </c>
      <c r="AV423" s="20" t="str">
        <f>HYPERLINK("http://www.bing.com/maps/?lvl=14&amp;sty=h&amp;cp=36.43~41.8681&amp;sp=point.36.43_41.8681","Maplink3")</f>
        <v>Maplink3</v>
      </c>
    </row>
    <row r="424" spans="1:48" x14ac:dyDescent="0.25">
      <c r="A424" s="9">
        <v>27400</v>
      </c>
      <c r="B424" s="10" t="s">
        <v>20</v>
      </c>
      <c r="C424" s="10" t="s">
        <v>728</v>
      </c>
      <c r="D424" s="10" t="s">
        <v>792</v>
      </c>
      <c r="E424" s="10" t="s">
        <v>793</v>
      </c>
      <c r="F424" s="10">
        <v>36.379832100000002</v>
      </c>
      <c r="G424" s="10">
        <v>41.715568089999998</v>
      </c>
      <c r="H424" s="11">
        <v>25</v>
      </c>
      <c r="I424" s="11">
        <v>150</v>
      </c>
      <c r="J424" s="11"/>
      <c r="K424" s="11"/>
      <c r="L424" s="11"/>
      <c r="M424" s="11"/>
      <c r="N424" s="11">
        <v>25</v>
      </c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>
        <v>25</v>
      </c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>
        <v>25</v>
      </c>
      <c r="AP424" s="11"/>
      <c r="AQ424" s="11"/>
      <c r="AR424" s="11"/>
      <c r="AS424" s="11"/>
      <c r="AT424" s="20" t="str">
        <f>HYPERLINK("http://www.openstreetmap.org/?mlat=36.3798&amp;mlon=41.7156&amp;zoom=12#map=12/36.3798/41.7156","Maplink1")</f>
        <v>Maplink1</v>
      </c>
      <c r="AU424" s="20" t="str">
        <f>HYPERLINK("https://www.google.iq/maps/search/+36.3798,41.7156/@36.3798,41.7156,14z?hl=en","Maplink2")</f>
        <v>Maplink2</v>
      </c>
      <c r="AV424" s="20" t="str">
        <f>HYPERLINK("http://www.bing.com/maps/?lvl=14&amp;sty=h&amp;cp=36.3798~41.7156&amp;sp=point.36.3798_41.7156","Maplink3")</f>
        <v>Maplink3</v>
      </c>
    </row>
    <row r="425" spans="1:48" x14ac:dyDescent="0.25">
      <c r="A425" s="9">
        <v>17928</v>
      </c>
      <c r="B425" s="10" t="s">
        <v>20</v>
      </c>
      <c r="C425" s="10" t="s">
        <v>728</v>
      </c>
      <c r="D425" s="10" t="s">
        <v>794</v>
      </c>
      <c r="E425" s="10" t="s">
        <v>795</v>
      </c>
      <c r="F425" s="10">
        <v>36.466222760000001</v>
      </c>
      <c r="G425" s="10">
        <v>41.711691940000001</v>
      </c>
      <c r="H425" s="11">
        <v>695</v>
      </c>
      <c r="I425" s="11">
        <v>4170</v>
      </c>
      <c r="J425" s="11"/>
      <c r="K425" s="11"/>
      <c r="L425" s="11"/>
      <c r="M425" s="11"/>
      <c r="N425" s="11">
        <v>695</v>
      </c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>
        <v>695</v>
      </c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>
        <v>695</v>
      </c>
      <c r="AP425" s="11"/>
      <c r="AQ425" s="11"/>
      <c r="AR425" s="11"/>
      <c r="AS425" s="11"/>
      <c r="AT425" s="20" t="str">
        <f>HYPERLINK("http://www.openstreetmap.org/?mlat=36.4662&amp;mlon=41.7117&amp;zoom=12#map=12/36.4662/41.7117","Maplink1")</f>
        <v>Maplink1</v>
      </c>
      <c r="AU425" s="20" t="str">
        <f>HYPERLINK("https://www.google.iq/maps/search/+36.4662,41.7117/@36.4662,41.7117,14z?hl=en","Maplink2")</f>
        <v>Maplink2</v>
      </c>
      <c r="AV425" s="20" t="str">
        <f>HYPERLINK("http://www.bing.com/maps/?lvl=14&amp;sty=h&amp;cp=36.4662~41.7117&amp;sp=point.36.4662_41.7117","Maplink3")</f>
        <v>Maplink3</v>
      </c>
    </row>
    <row r="426" spans="1:48" x14ac:dyDescent="0.25">
      <c r="A426" s="9">
        <v>28448</v>
      </c>
      <c r="B426" s="10" t="s">
        <v>20</v>
      </c>
      <c r="C426" s="10" t="s">
        <v>728</v>
      </c>
      <c r="D426" s="10" t="s">
        <v>796</v>
      </c>
      <c r="E426" s="10" t="s">
        <v>797</v>
      </c>
      <c r="F426" s="10">
        <v>36.42316417</v>
      </c>
      <c r="G426" s="10">
        <v>41.865733599999999</v>
      </c>
      <c r="H426" s="11">
        <v>46</v>
      </c>
      <c r="I426" s="11">
        <v>276</v>
      </c>
      <c r="J426" s="11"/>
      <c r="K426" s="11"/>
      <c r="L426" s="11"/>
      <c r="M426" s="11"/>
      <c r="N426" s="11">
        <v>46</v>
      </c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>
        <v>46</v>
      </c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>
        <v>46</v>
      </c>
      <c r="AP426" s="11"/>
      <c r="AQ426" s="11"/>
      <c r="AR426" s="11"/>
      <c r="AS426" s="11"/>
      <c r="AT426" s="20" t="str">
        <f>HYPERLINK("http://www.openstreetmap.org/?mlat=36.4232&amp;mlon=41.8657&amp;zoom=12#map=12/36.4232/41.8657","Maplink1")</f>
        <v>Maplink1</v>
      </c>
      <c r="AU426" s="20" t="str">
        <f>HYPERLINK("https://www.google.iq/maps/search/+36.4232,41.8657/@36.4232,41.8657,14z?hl=en","Maplink2")</f>
        <v>Maplink2</v>
      </c>
      <c r="AV426" s="20" t="str">
        <f>HYPERLINK("http://www.bing.com/maps/?lvl=14&amp;sty=h&amp;cp=36.4232~41.8657&amp;sp=point.36.4232_41.8657","Maplink3")</f>
        <v>Maplink3</v>
      </c>
    </row>
    <row r="427" spans="1:48" x14ac:dyDescent="0.25">
      <c r="A427" s="9">
        <v>27361</v>
      </c>
      <c r="B427" s="10" t="s">
        <v>20</v>
      </c>
      <c r="C427" s="10" t="s">
        <v>728</v>
      </c>
      <c r="D427" s="10" t="s">
        <v>798</v>
      </c>
      <c r="E427" s="10" t="s">
        <v>799</v>
      </c>
      <c r="F427" s="10">
        <v>36.397239999999996</v>
      </c>
      <c r="G427" s="10">
        <v>41.797674000000001</v>
      </c>
      <c r="H427" s="11">
        <v>1</v>
      </c>
      <c r="I427" s="11">
        <v>6</v>
      </c>
      <c r="J427" s="11"/>
      <c r="K427" s="11"/>
      <c r="L427" s="11"/>
      <c r="M427" s="11"/>
      <c r="N427" s="11">
        <v>1</v>
      </c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>
        <v>1</v>
      </c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>
        <v>1</v>
      </c>
      <c r="AP427" s="11"/>
      <c r="AQ427" s="11"/>
      <c r="AR427" s="11"/>
      <c r="AS427" s="11"/>
      <c r="AT427" s="20" t="str">
        <f>HYPERLINK("http://www.openstreetmap.org/?mlat=36.3972&amp;mlon=41.7977&amp;zoom=12#map=12/36.3972/41.7977","Maplink1")</f>
        <v>Maplink1</v>
      </c>
      <c r="AU427" s="20" t="str">
        <f>HYPERLINK("https://www.google.iq/maps/search/+36.3972,41.7977/@36.3972,41.7977,14z?hl=en","Maplink2")</f>
        <v>Maplink2</v>
      </c>
      <c r="AV427" s="20" t="str">
        <f>HYPERLINK("http://www.bing.com/maps/?lvl=14&amp;sty=h&amp;cp=36.3972~41.7977&amp;sp=point.36.3972_41.7977","Maplink3")</f>
        <v>Maplink3</v>
      </c>
    </row>
    <row r="428" spans="1:48" x14ac:dyDescent="0.25">
      <c r="A428" s="9">
        <v>27287</v>
      </c>
      <c r="B428" s="10" t="s">
        <v>20</v>
      </c>
      <c r="C428" s="10" t="s">
        <v>728</v>
      </c>
      <c r="D428" s="10" t="s">
        <v>800</v>
      </c>
      <c r="E428" s="10" t="s">
        <v>801</v>
      </c>
      <c r="F428" s="10">
        <v>36.471242240000002</v>
      </c>
      <c r="G428" s="10">
        <v>42.01619548</v>
      </c>
      <c r="H428" s="11">
        <v>238</v>
      </c>
      <c r="I428" s="11">
        <v>1428</v>
      </c>
      <c r="J428" s="11"/>
      <c r="K428" s="11"/>
      <c r="L428" s="11"/>
      <c r="M428" s="11"/>
      <c r="N428" s="11">
        <v>238</v>
      </c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>
        <v>238</v>
      </c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>
        <v>238</v>
      </c>
      <c r="AP428" s="11"/>
      <c r="AQ428" s="11"/>
      <c r="AR428" s="11"/>
      <c r="AS428" s="11"/>
      <c r="AT428" s="20" t="str">
        <f>HYPERLINK("http://www.openstreetmap.org/?mlat=36.4712&amp;mlon=42.0162&amp;zoom=12#map=12/36.4712/42.0162","Maplink1")</f>
        <v>Maplink1</v>
      </c>
      <c r="AU428" s="20" t="str">
        <f>HYPERLINK("https://www.google.iq/maps/search/+36.4712,42.0162/@36.4712,42.0162,14z?hl=en","Maplink2")</f>
        <v>Maplink2</v>
      </c>
      <c r="AV428" s="20" t="str">
        <f>HYPERLINK("http://www.bing.com/maps/?lvl=14&amp;sty=h&amp;cp=36.4712~42.0162&amp;sp=point.36.4712_42.0162","Maplink3")</f>
        <v>Maplink3</v>
      </c>
    </row>
    <row r="429" spans="1:48" x14ac:dyDescent="0.25">
      <c r="A429" s="9">
        <v>17645</v>
      </c>
      <c r="B429" s="10" t="s">
        <v>20</v>
      </c>
      <c r="C429" s="10" t="s">
        <v>802</v>
      </c>
      <c r="D429" s="10" t="s">
        <v>803</v>
      </c>
      <c r="E429" s="10" t="s">
        <v>804</v>
      </c>
      <c r="F429" s="10">
        <v>36.519699000000003</v>
      </c>
      <c r="G429" s="10">
        <v>42.085087999999999</v>
      </c>
      <c r="H429" s="11">
        <v>100</v>
      </c>
      <c r="I429" s="11">
        <v>600</v>
      </c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>
        <v>100</v>
      </c>
      <c r="W429" s="11"/>
      <c r="X429" s="11"/>
      <c r="Y429" s="11"/>
      <c r="Z429" s="11"/>
      <c r="AA429" s="11"/>
      <c r="AB429" s="11"/>
      <c r="AC429" s="11">
        <v>100</v>
      </c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>
        <v>97</v>
      </c>
      <c r="AP429" s="11"/>
      <c r="AQ429" s="11"/>
      <c r="AR429" s="11">
        <v>3</v>
      </c>
      <c r="AS429" s="11"/>
      <c r="AT429" s="20" t="str">
        <f>HYPERLINK("http://www.openstreetmap.org/?mlat=36.5197&amp;mlon=42.0851&amp;zoom=12#map=12/36.5197/42.0851","Maplink1")</f>
        <v>Maplink1</v>
      </c>
      <c r="AU429" s="20" t="str">
        <f>HYPERLINK("https://www.google.iq/maps/search/+36.5197,42.0851/@36.5197,42.0851,14z?hl=en","Maplink2")</f>
        <v>Maplink2</v>
      </c>
      <c r="AV429" s="20" t="str">
        <f>HYPERLINK("http://www.bing.com/maps/?lvl=14&amp;sty=h&amp;cp=36.5197~42.0851&amp;sp=point.36.5197_42.0851","Maplink3")</f>
        <v>Maplink3</v>
      </c>
    </row>
    <row r="430" spans="1:48" x14ac:dyDescent="0.25">
      <c r="A430" s="9">
        <v>17657</v>
      </c>
      <c r="B430" s="10" t="s">
        <v>20</v>
      </c>
      <c r="C430" s="10" t="s">
        <v>802</v>
      </c>
      <c r="D430" s="10" t="s">
        <v>805</v>
      </c>
      <c r="E430" s="10" t="s">
        <v>806</v>
      </c>
      <c r="F430" s="10">
        <v>36.764801050000003</v>
      </c>
      <c r="G430" s="10">
        <v>42.208764960000003</v>
      </c>
      <c r="H430" s="11">
        <v>206</v>
      </c>
      <c r="I430" s="11">
        <v>1236</v>
      </c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>
        <v>206</v>
      </c>
      <c r="W430" s="11"/>
      <c r="X430" s="11"/>
      <c r="Y430" s="11"/>
      <c r="Z430" s="11"/>
      <c r="AA430" s="11"/>
      <c r="AB430" s="11"/>
      <c r="AC430" s="11">
        <v>206</v>
      </c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>
        <v>206</v>
      </c>
      <c r="AP430" s="11"/>
      <c r="AQ430" s="11"/>
      <c r="AR430" s="11"/>
      <c r="AS430" s="11"/>
      <c r="AT430" s="20" t="str">
        <f>HYPERLINK("http://www.openstreetmap.org/?mlat=36.7648&amp;mlon=42.2088&amp;zoom=12#map=12/36.7648/42.2088","Maplink1")</f>
        <v>Maplink1</v>
      </c>
      <c r="AU430" s="20" t="str">
        <f>HYPERLINK("https://www.google.iq/maps/search/+36.7648,42.2088/@36.7648,42.2088,14z?hl=en","Maplink2")</f>
        <v>Maplink2</v>
      </c>
      <c r="AV430" s="20" t="str">
        <f>HYPERLINK("http://www.bing.com/maps/?lvl=14&amp;sty=h&amp;cp=36.7648~42.2088&amp;sp=point.36.7648_42.2088","Maplink3")</f>
        <v>Maplink3</v>
      </c>
    </row>
    <row r="431" spans="1:48" x14ac:dyDescent="0.25">
      <c r="A431" s="9">
        <v>18262</v>
      </c>
      <c r="B431" s="10" t="s">
        <v>20</v>
      </c>
      <c r="C431" s="10" t="s">
        <v>802</v>
      </c>
      <c r="D431" s="10" t="s">
        <v>807</v>
      </c>
      <c r="E431" s="10" t="s">
        <v>1165</v>
      </c>
      <c r="F431" s="10">
        <v>36.739933999999998</v>
      </c>
      <c r="G431" s="10">
        <v>42.124847000000003</v>
      </c>
      <c r="H431" s="11">
        <v>360</v>
      </c>
      <c r="I431" s="11">
        <v>2160</v>
      </c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>
        <v>360</v>
      </c>
      <c r="W431" s="11"/>
      <c r="X431" s="11"/>
      <c r="Y431" s="11"/>
      <c r="Z431" s="11"/>
      <c r="AA431" s="11"/>
      <c r="AB431" s="11"/>
      <c r="AC431" s="11">
        <v>360</v>
      </c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>
        <v>360</v>
      </c>
      <c r="AP431" s="11"/>
      <c r="AQ431" s="11"/>
      <c r="AR431" s="11"/>
      <c r="AS431" s="11"/>
      <c r="AT431" s="20" t="str">
        <f>HYPERLINK("http://www.openstreetmap.org/?mlat=36.7399&amp;mlon=42.1248&amp;zoom=12#map=12/36.7399/42.1248","Maplink1")</f>
        <v>Maplink1</v>
      </c>
      <c r="AU431" s="20" t="str">
        <f>HYPERLINK("https://www.google.iq/maps/search/+36.7399,42.1248/@36.7399,42.1248,14z?hl=en","Maplink2")</f>
        <v>Maplink2</v>
      </c>
      <c r="AV431" s="20" t="str">
        <f>HYPERLINK("http://www.bing.com/maps/?lvl=14&amp;sty=h&amp;cp=36.7399~42.1248&amp;sp=point.36.7399_42.1248","Maplink3")</f>
        <v>Maplink3</v>
      </c>
    </row>
    <row r="432" spans="1:48" x14ac:dyDescent="0.25">
      <c r="A432" s="9">
        <v>27354</v>
      </c>
      <c r="B432" s="10" t="s">
        <v>20</v>
      </c>
      <c r="C432" s="10" t="s">
        <v>802</v>
      </c>
      <c r="D432" s="10" t="s">
        <v>808</v>
      </c>
      <c r="E432" s="10" t="s">
        <v>809</v>
      </c>
      <c r="F432" s="10">
        <v>36.844505740000002</v>
      </c>
      <c r="G432" s="10">
        <v>42.382485549999998</v>
      </c>
      <c r="H432" s="11">
        <v>124</v>
      </c>
      <c r="I432" s="11">
        <v>744</v>
      </c>
      <c r="J432" s="11"/>
      <c r="K432" s="11"/>
      <c r="L432" s="11"/>
      <c r="M432" s="11"/>
      <c r="N432" s="11">
        <v>124</v>
      </c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>
        <v>124</v>
      </c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>
        <v>124</v>
      </c>
      <c r="AP432" s="11"/>
      <c r="AQ432" s="11"/>
      <c r="AR432" s="11"/>
      <c r="AS432" s="11"/>
      <c r="AT432" s="20" t="str">
        <f>HYPERLINK("http://www.openstreetmap.org/?mlat=36.8445&amp;mlon=42.3825&amp;zoom=12#map=12/36.8445/42.3825","Maplink1")</f>
        <v>Maplink1</v>
      </c>
      <c r="AU432" s="20" t="str">
        <f>HYPERLINK("https://www.google.iq/maps/search/+36.8445,42.3825/@36.8445,42.3825,14z?hl=en","Maplink2")</f>
        <v>Maplink2</v>
      </c>
      <c r="AV432" s="20" t="str">
        <f>HYPERLINK("http://www.bing.com/maps/?lvl=14&amp;sty=h&amp;cp=36.8445~42.3825&amp;sp=point.36.8445_42.3825","Maplink3")</f>
        <v>Maplink3</v>
      </c>
    </row>
    <row r="433" spans="1:48" x14ac:dyDescent="0.25">
      <c r="A433" s="9">
        <v>17746</v>
      </c>
      <c r="B433" s="10" t="s">
        <v>20</v>
      </c>
      <c r="C433" s="10" t="s">
        <v>802</v>
      </c>
      <c r="D433" s="10" t="s">
        <v>810</v>
      </c>
      <c r="E433" s="10" t="s">
        <v>811</v>
      </c>
      <c r="F433" s="10">
        <v>36.605374259999998</v>
      </c>
      <c r="G433" s="10">
        <v>42.623551249999998</v>
      </c>
      <c r="H433" s="11">
        <v>208</v>
      </c>
      <c r="I433" s="11">
        <v>1248</v>
      </c>
      <c r="J433" s="11"/>
      <c r="K433" s="11"/>
      <c r="L433" s="11"/>
      <c r="M433" s="11"/>
      <c r="N433" s="11">
        <v>180</v>
      </c>
      <c r="O433" s="11"/>
      <c r="P433" s="11">
        <v>18</v>
      </c>
      <c r="Q433" s="11"/>
      <c r="R433" s="11"/>
      <c r="S433" s="11"/>
      <c r="T433" s="11"/>
      <c r="U433" s="11"/>
      <c r="V433" s="11"/>
      <c r="W433" s="11"/>
      <c r="X433" s="11"/>
      <c r="Y433" s="11">
        <v>10</v>
      </c>
      <c r="Z433" s="11"/>
      <c r="AA433" s="11"/>
      <c r="AB433" s="11"/>
      <c r="AC433" s="11">
        <v>186</v>
      </c>
      <c r="AD433" s="11">
        <v>22</v>
      </c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>
        <v>208</v>
      </c>
      <c r="AP433" s="11"/>
      <c r="AQ433" s="11"/>
      <c r="AR433" s="11"/>
      <c r="AS433" s="11"/>
      <c r="AT433" s="20" t="str">
        <f>HYPERLINK("http://www.openstreetmap.org/?mlat=36.6054&amp;mlon=42.6236&amp;zoom=12#map=12/36.6054/42.6236","Maplink1")</f>
        <v>Maplink1</v>
      </c>
      <c r="AU433" s="20" t="str">
        <f>HYPERLINK("https://www.google.iq/maps/search/+36.6054,42.6236/@36.6054,42.6236,14z?hl=en","Maplink2")</f>
        <v>Maplink2</v>
      </c>
      <c r="AV433" s="20" t="str">
        <f>HYPERLINK("http://www.bing.com/maps/?lvl=14&amp;sty=h&amp;cp=36.6054~42.6236&amp;sp=point.36.6054_42.6236","Maplink3")</f>
        <v>Maplink3</v>
      </c>
    </row>
    <row r="434" spans="1:48" x14ac:dyDescent="0.25">
      <c r="A434" s="9">
        <v>22446</v>
      </c>
      <c r="B434" s="10" t="s">
        <v>20</v>
      </c>
      <c r="C434" s="10" t="s">
        <v>802</v>
      </c>
      <c r="D434" s="10" t="s">
        <v>812</v>
      </c>
      <c r="E434" s="10" t="s">
        <v>813</v>
      </c>
      <c r="F434" s="10">
        <v>36.609344219999997</v>
      </c>
      <c r="G434" s="10">
        <v>42.568694710000003</v>
      </c>
      <c r="H434" s="11">
        <v>372</v>
      </c>
      <c r="I434" s="11">
        <v>2232</v>
      </c>
      <c r="J434" s="11"/>
      <c r="K434" s="11"/>
      <c r="L434" s="11"/>
      <c r="M434" s="11"/>
      <c r="N434" s="11">
        <v>372</v>
      </c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>
        <v>352</v>
      </c>
      <c r="AD434" s="11">
        <v>20</v>
      </c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>
        <v>372</v>
      </c>
      <c r="AP434" s="11"/>
      <c r="AQ434" s="11"/>
      <c r="AR434" s="11"/>
      <c r="AS434" s="11"/>
      <c r="AT434" s="20" t="str">
        <f>HYPERLINK("http://www.openstreetmap.org/?mlat=36.6093&amp;mlon=42.5687&amp;zoom=12#map=12/36.6093/42.5687","Maplink1")</f>
        <v>Maplink1</v>
      </c>
      <c r="AU434" s="20" t="str">
        <f>HYPERLINK("https://www.google.iq/maps/search/+36.6093,42.5687/@36.6093,42.5687,14z?hl=en","Maplink2")</f>
        <v>Maplink2</v>
      </c>
      <c r="AV434" s="20" t="str">
        <f>HYPERLINK("http://www.bing.com/maps/?lvl=14&amp;sty=h&amp;cp=36.6093~42.5687&amp;sp=point.36.6093_42.5687","Maplink3")</f>
        <v>Maplink3</v>
      </c>
    </row>
    <row r="435" spans="1:48" x14ac:dyDescent="0.25">
      <c r="A435" s="9">
        <v>28453</v>
      </c>
      <c r="B435" s="10" t="s">
        <v>20</v>
      </c>
      <c r="C435" s="10" t="s">
        <v>802</v>
      </c>
      <c r="D435" s="10" t="s">
        <v>814</v>
      </c>
      <c r="E435" s="10" t="s">
        <v>815</v>
      </c>
      <c r="F435" s="10">
        <v>36.728188889999998</v>
      </c>
      <c r="G435" s="10">
        <v>42.258451800000003</v>
      </c>
      <c r="H435" s="11">
        <v>184</v>
      </c>
      <c r="I435" s="11">
        <v>1104</v>
      </c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>
        <v>184</v>
      </c>
      <c r="W435" s="11"/>
      <c r="X435" s="11"/>
      <c r="Y435" s="11"/>
      <c r="Z435" s="11"/>
      <c r="AA435" s="11"/>
      <c r="AB435" s="11"/>
      <c r="AC435" s="11">
        <v>184</v>
      </c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>
        <v>179</v>
      </c>
      <c r="AP435" s="11"/>
      <c r="AQ435" s="11"/>
      <c r="AR435" s="11">
        <v>5</v>
      </c>
      <c r="AS435" s="11"/>
      <c r="AT435" s="20" t="str">
        <f>HYPERLINK("http://www.openstreetmap.org/?mlat=36.7282&amp;mlon=42.2585&amp;zoom=12#map=12/36.7282/42.2585","Maplink1")</f>
        <v>Maplink1</v>
      </c>
      <c r="AU435" s="20" t="str">
        <f>HYPERLINK("https://www.google.iq/maps/search/+36.7282,42.2585/@36.7282,42.2585,14z?hl=en","Maplink2")</f>
        <v>Maplink2</v>
      </c>
      <c r="AV435" s="20" t="str">
        <f>HYPERLINK("http://www.bing.com/maps/?lvl=14&amp;sty=h&amp;cp=36.7282~42.2585&amp;sp=point.36.7282_42.2585","Maplink3")</f>
        <v>Maplink3</v>
      </c>
    </row>
    <row r="436" spans="1:48" x14ac:dyDescent="0.25">
      <c r="A436" s="9">
        <v>17762</v>
      </c>
      <c r="B436" s="10" t="s">
        <v>20</v>
      </c>
      <c r="C436" s="10" t="s">
        <v>802</v>
      </c>
      <c r="D436" s="10" t="s">
        <v>1166</v>
      </c>
      <c r="E436" s="10" t="s">
        <v>816</v>
      </c>
      <c r="F436" s="10">
        <v>36.799222829999998</v>
      </c>
      <c r="G436" s="10">
        <v>42.470374589999999</v>
      </c>
      <c r="H436" s="11">
        <v>490</v>
      </c>
      <c r="I436" s="11">
        <v>2940</v>
      </c>
      <c r="J436" s="11"/>
      <c r="K436" s="11"/>
      <c r="L436" s="11"/>
      <c r="M436" s="11"/>
      <c r="N436" s="11">
        <v>490</v>
      </c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>
        <v>490</v>
      </c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>
        <v>490</v>
      </c>
      <c r="AP436" s="11"/>
      <c r="AQ436" s="11"/>
      <c r="AR436" s="11"/>
      <c r="AS436" s="11"/>
      <c r="AT436" s="20" t="str">
        <f>HYPERLINK("http://www.openstreetmap.org/?mlat=36.7992&amp;mlon=42.4704&amp;zoom=12#map=12/36.7992/42.4704","Maplink1")</f>
        <v>Maplink1</v>
      </c>
      <c r="AU436" s="20" t="str">
        <f>HYPERLINK("https://www.google.iq/maps/search/+36.7992,42.4704/@36.7992,42.4704,14z?hl=en","Maplink2")</f>
        <v>Maplink2</v>
      </c>
      <c r="AV436" s="20" t="str">
        <f>HYPERLINK("http://www.bing.com/maps/?lvl=14&amp;sty=h&amp;cp=36.7992~42.4704&amp;sp=point.36.7992_42.4704","Maplink3")</f>
        <v>Maplink3</v>
      </c>
    </row>
    <row r="437" spans="1:48" x14ac:dyDescent="0.25">
      <c r="A437" s="9">
        <v>28440</v>
      </c>
      <c r="B437" s="10" t="s">
        <v>20</v>
      </c>
      <c r="C437" s="10" t="s">
        <v>802</v>
      </c>
      <c r="D437" s="10" t="s">
        <v>1167</v>
      </c>
      <c r="E437" s="10" t="s">
        <v>817</v>
      </c>
      <c r="F437" s="10">
        <v>36.793997050000002</v>
      </c>
      <c r="G437" s="10">
        <v>42.214455559999998</v>
      </c>
      <c r="H437" s="11">
        <v>75</v>
      </c>
      <c r="I437" s="11">
        <v>450</v>
      </c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>
        <v>75</v>
      </c>
      <c r="W437" s="11"/>
      <c r="X437" s="11"/>
      <c r="Y437" s="11"/>
      <c r="Z437" s="11"/>
      <c r="AA437" s="11"/>
      <c r="AB437" s="11"/>
      <c r="AC437" s="11">
        <v>75</v>
      </c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>
        <v>74</v>
      </c>
      <c r="AP437" s="11"/>
      <c r="AQ437" s="11"/>
      <c r="AR437" s="11">
        <v>1</v>
      </c>
      <c r="AS437" s="11"/>
      <c r="AT437" s="20" t="str">
        <f>HYPERLINK("http://www.openstreetmap.org/?mlat=36.794&amp;mlon=42.2145&amp;zoom=12#map=12/36.794/42.2145","Maplink1")</f>
        <v>Maplink1</v>
      </c>
      <c r="AU437" s="20" t="str">
        <f>HYPERLINK("https://www.google.iq/maps/search/+36.794,42.2145/@36.794,42.2145,14z?hl=en","Maplink2")</f>
        <v>Maplink2</v>
      </c>
      <c r="AV437" s="20" t="str">
        <f>HYPERLINK("http://www.bing.com/maps/?lvl=14&amp;sty=h&amp;cp=36.794~42.2145&amp;sp=point.36.794_42.2145","Maplink3")</f>
        <v>Maplink3</v>
      </c>
    </row>
    <row r="438" spans="1:48" x14ac:dyDescent="0.25">
      <c r="A438" s="9">
        <v>25809</v>
      </c>
      <c r="B438" s="10" t="s">
        <v>20</v>
      </c>
      <c r="C438" s="10" t="s">
        <v>802</v>
      </c>
      <c r="D438" s="10" t="s">
        <v>818</v>
      </c>
      <c r="E438" s="10" t="s">
        <v>819</v>
      </c>
      <c r="F438" s="10">
        <v>36.70944532</v>
      </c>
      <c r="G438" s="10">
        <v>42.618708040000001</v>
      </c>
      <c r="H438" s="11">
        <v>280</v>
      </c>
      <c r="I438" s="11">
        <v>1680</v>
      </c>
      <c r="J438" s="11"/>
      <c r="K438" s="11"/>
      <c r="L438" s="11"/>
      <c r="M438" s="11"/>
      <c r="N438" s="11">
        <v>280</v>
      </c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>
        <v>280</v>
      </c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>
        <v>280</v>
      </c>
      <c r="AP438" s="11"/>
      <c r="AQ438" s="11"/>
      <c r="AR438" s="11"/>
      <c r="AS438" s="11"/>
      <c r="AT438" s="20" t="str">
        <f>HYPERLINK("http://www.openstreetmap.org/?mlat=36.7094&amp;mlon=42.6187&amp;zoom=12#map=12/36.7094/42.6187","Maplink1")</f>
        <v>Maplink1</v>
      </c>
      <c r="AU438" s="20" t="str">
        <f>HYPERLINK("https://www.google.iq/maps/search/+36.7094,42.6187/@36.7094,42.6187,14z?hl=en","Maplink2")</f>
        <v>Maplink2</v>
      </c>
      <c r="AV438" s="20" t="str">
        <f>HYPERLINK("http://www.bing.com/maps/?lvl=14&amp;sty=h&amp;cp=36.7094~42.6187&amp;sp=point.36.7094_42.6187","Maplink3")</f>
        <v>Maplink3</v>
      </c>
    </row>
    <row r="439" spans="1:48" x14ac:dyDescent="0.25">
      <c r="A439" s="9">
        <v>24906</v>
      </c>
      <c r="B439" s="10" t="s">
        <v>20</v>
      </c>
      <c r="C439" s="10" t="s">
        <v>802</v>
      </c>
      <c r="D439" s="10" t="s">
        <v>820</v>
      </c>
      <c r="E439" s="10" t="s">
        <v>821</v>
      </c>
      <c r="F439" s="10">
        <v>36.595396350000001</v>
      </c>
      <c r="G439" s="10">
        <v>42.61828182</v>
      </c>
      <c r="H439" s="11">
        <v>115</v>
      </c>
      <c r="I439" s="11">
        <v>690</v>
      </c>
      <c r="J439" s="11"/>
      <c r="K439" s="11"/>
      <c r="L439" s="11"/>
      <c r="M439" s="11"/>
      <c r="N439" s="11">
        <v>110</v>
      </c>
      <c r="O439" s="11"/>
      <c r="P439" s="11"/>
      <c r="Q439" s="11"/>
      <c r="R439" s="11"/>
      <c r="S439" s="11"/>
      <c r="T439" s="11"/>
      <c r="U439" s="11"/>
      <c r="V439" s="11">
        <v>5</v>
      </c>
      <c r="W439" s="11"/>
      <c r="X439" s="11"/>
      <c r="Y439" s="11"/>
      <c r="Z439" s="11"/>
      <c r="AA439" s="11"/>
      <c r="AB439" s="11"/>
      <c r="AC439" s="11">
        <v>111</v>
      </c>
      <c r="AD439" s="11">
        <v>4</v>
      </c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>
        <v>115</v>
      </c>
      <c r="AP439" s="11"/>
      <c r="AQ439" s="11"/>
      <c r="AR439" s="11"/>
      <c r="AS439" s="11"/>
      <c r="AT439" s="20" t="str">
        <f>HYPERLINK("http://www.openstreetmap.org/?mlat=36.5954&amp;mlon=42.6183&amp;zoom=12#map=12/36.5954/42.6183","Maplink1")</f>
        <v>Maplink1</v>
      </c>
      <c r="AU439" s="20" t="str">
        <f>HYPERLINK("https://www.google.iq/maps/search/+36.5954,42.6183/@36.5954,42.6183,14z?hl=en","Maplink2")</f>
        <v>Maplink2</v>
      </c>
      <c r="AV439" s="20" t="str">
        <f>HYPERLINK("http://www.bing.com/maps/?lvl=14&amp;sty=h&amp;cp=36.5954~42.6183&amp;sp=point.36.5954_42.6183","Maplink3")</f>
        <v>Maplink3</v>
      </c>
    </row>
    <row r="440" spans="1:48" x14ac:dyDescent="0.25">
      <c r="A440" s="9">
        <v>25690</v>
      </c>
      <c r="B440" s="10" t="s">
        <v>20</v>
      </c>
      <c r="C440" s="10" t="s">
        <v>802</v>
      </c>
      <c r="D440" s="10" t="s">
        <v>822</v>
      </c>
      <c r="E440" s="10" t="s">
        <v>823</v>
      </c>
      <c r="F440" s="10">
        <v>36.600946389999997</v>
      </c>
      <c r="G440" s="10">
        <v>42.643235320000002</v>
      </c>
      <c r="H440" s="11">
        <v>100</v>
      </c>
      <c r="I440" s="11">
        <v>600</v>
      </c>
      <c r="J440" s="11"/>
      <c r="K440" s="11"/>
      <c r="L440" s="11"/>
      <c r="M440" s="11"/>
      <c r="N440" s="11">
        <v>100</v>
      </c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>
        <v>100</v>
      </c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>
        <v>100</v>
      </c>
      <c r="AP440" s="11"/>
      <c r="AQ440" s="11"/>
      <c r="AR440" s="11"/>
      <c r="AS440" s="11"/>
      <c r="AT440" s="20" t="str">
        <f>HYPERLINK("http://www.openstreetmap.org/?mlat=36.6009&amp;mlon=42.6432&amp;zoom=12#map=12/36.6009/42.6432","Maplink1")</f>
        <v>Maplink1</v>
      </c>
      <c r="AU440" s="20" t="str">
        <f>HYPERLINK("https://www.google.iq/maps/search/+36.6009,42.6432/@36.6009,42.6432,14z?hl=en","Maplink2")</f>
        <v>Maplink2</v>
      </c>
      <c r="AV440" s="20" t="str">
        <f>HYPERLINK("http://www.bing.com/maps/?lvl=14&amp;sty=h&amp;cp=36.6009~42.6432&amp;sp=point.36.6009_42.6432","Maplink3")</f>
        <v>Maplink3</v>
      </c>
    </row>
    <row r="441" spans="1:48" x14ac:dyDescent="0.25">
      <c r="A441" s="9">
        <v>28450</v>
      </c>
      <c r="B441" s="10" t="s">
        <v>20</v>
      </c>
      <c r="C441" s="10" t="s">
        <v>802</v>
      </c>
      <c r="D441" s="10" t="s">
        <v>824</v>
      </c>
      <c r="E441" s="10" t="s">
        <v>825</v>
      </c>
      <c r="F441" s="10">
        <v>36.6745752</v>
      </c>
      <c r="G441" s="10">
        <v>42.396558599999999</v>
      </c>
      <c r="H441" s="11">
        <v>1215</v>
      </c>
      <c r="I441" s="11">
        <v>7290</v>
      </c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>
        <v>1215</v>
      </c>
      <c r="W441" s="11"/>
      <c r="X441" s="11"/>
      <c r="Y441" s="11"/>
      <c r="Z441" s="11"/>
      <c r="AA441" s="11"/>
      <c r="AB441" s="11"/>
      <c r="AC441" s="11">
        <v>1215</v>
      </c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>
        <v>1215</v>
      </c>
      <c r="AP441" s="11"/>
      <c r="AQ441" s="11"/>
      <c r="AR441" s="11"/>
      <c r="AS441" s="11"/>
      <c r="AT441" s="20" t="str">
        <f>HYPERLINK("http://www.openstreetmap.org/?mlat=36.6746&amp;mlon=42.3966&amp;zoom=12#map=12/36.6746/42.3966","Maplink1")</f>
        <v>Maplink1</v>
      </c>
      <c r="AU441" s="20" t="str">
        <f>HYPERLINK("https://www.google.iq/maps/search/+36.6746,42.3966/@36.6746,42.3966,14z?hl=en","Maplink2")</f>
        <v>Maplink2</v>
      </c>
      <c r="AV441" s="20" t="str">
        <f>HYPERLINK("http://www.bing.com/maps/?lvl=14&amp;sty=h&amp;cp=36.6746~42.3966&amp;sp=point.36.6746_42.3966","Maplink3")</f>
        <v>Maplink3</v>
      </c>
    </row>
    <row r="442" spans="1:48" x14ac:dyDescent="0.25">
      <c r="A442" s="9">
        <v>17621</v>
      </c>
      <c r="B442" s="10" t="s">
        <v>20</v>
      </c>
      <c r="C442" s="10" t="s">
        <v>802</v>
      </c>
      <c r="D442" s="10" t="s">
        <v>826</v>
      </c>
      <c r="E442" s="10" t="s">
        <v>827</v>
      </c>
      <c r="F442" s="10">
        <v>36.584802269999997</v>
      </c>
      <c r="G442" s="10">
        <v>42.485178560000001</v>
      </c>
      <c r="H442" s="11">
        <v>130</v>
      </c>
      <c r="I442" s="11">
        <v>780</v>
      </c>
      <c r="J442" s="11"/>
      <c r="K442" s="11"/>
      <c r="L442" s="11"/>
      <c r="M442" s="11"/>
      <c r="N442" s="11">
        <v>110</v>
      </c>
      <c r="O442" s="11"/>
      <c r="P442" s="11"/>
      <c r="Q442" s="11"/>
      <c r="R442" s="11"/>
      <c r="S442" s="11"/>
      <c r="T442" s="11"/>
      <c r="U442" s="11"/>
      <c r="V442" s="11">
        <v>20</v>
      </c>
      <c r="W442" s="11"/>
      <c r="X442" s="11"/>
      <c r="Y442" s="11"/>
      <c r="Z442" s="11"/>
      <c r="AA442" s="11"/>
      <c r="AB442" s="11"/>
      <c r="AC442" s="11">
        <v>130</v>
      </c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>
        <v>130</v>
      </c>
      <c r="AP442" s="11"/>
      <c r="AQ442" s="11"/>
      <c r="AR442" s="11"/>
      <c r="AS442" s="11"/>
      <c r="AT442" s="20" t="str">
        <f>HYPERLINK("http://www.openstreetmap.org/?mlat=36.5848&amp;mlon=42.4852&amp;zoom=12#map=12/36.5848/42.4852","Maplink1")</f>
        <v>Maplink1</v>
      </c>
      <c r="AU442" s="20" t="str">
        <f>HYPERLINK("https://www.google.iq/maps/search/+36.5848,42.4852/@36.5848,42.4852,14z?hl=en","Maplink2")</f>
        <v>Maplink2</v>
      </c>
      <c r="AV442" s="20" t="str">
        <f>HYPERLINK("http://www.bing.com/maps/?lvl=14&amp;sty=h&amp;cp=36.5848~42.4852&amp;sp=point.36.5848_42.4852","Maplink3")</f>
        <v>Maplink3</v>
      </c>
    </row>
    <row r="443" spans="1:48" x14ac:dyDescent="0.25">
      <c r="A443" s="9">
        <v>25980</v>
      </c>
      <c r="B443" s="10" t="s">
        <v>20</v>
      </c>
      <c r="C443" s="10" t="s">
        <v>802</v>
      </c>
      <c r="D443" s="10" t="s">
        <v>1168</v>
      </c>
      <c r="E443" s="10" t="s">
        <v>828</v>
      </c>
      <c r="F443" s="10">
        <v>36.825797889999997</v>
      </c>
      <c r="G443" s="10">
        <v>42.14102999</v>
      </c>
      <c r="H443" s="11">
        <v>15</v>
      </c>
      <c r="I443" s="11">
        <v>90</v>
      </c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>
        <v>15</v>
      </c>
      <c r="W443" s="11"/>
      <c r="X443" s="11"/>
      <c r="Y443" s="11"/>
      <c r="Z443" s="11"/>
      <c r="AA443" s="11"/>
      <c r="AB443" s="11"/>
      <c r="AC443" s="11">
        <v>15</v>
      </c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>
        <v>15</v>
      </c>
      <c r="AP443" s="11"/>
      <c r="AQ443" s="11"/>
      <c r="AR443" s="11"/>
      <c r="AS443" s="11"/>
      <c r="AT443" s="20" t="str">
        <f>HYPERLINK("http://www.openstreetmap.org/?mlat=36.8258&amp;mlon=42.141&amp;zoom=12#map=12/36.8258/42.141","Maplink1")</f>
        <v>Maplink1</v>
      </c>
      <c r="AU443" s="20" t="str">
        <f>HYPERLINK("https://www.google.iq/maps/search/+36.8258,42.141/@36.8258,42.141,14z?hl=en","Maplink2")</f>
        <v>Maplink2</v>
      </c>
      <c r="AV443" s="20" t="str">
        <f>HYPERLINK("http://www.bing.com/maps/?lvl=14&amp;sty=h&amp;cp=36.8258~42.141&amp;sp=point.36.8258_42.141","Maplink3")</f>
        <v>Maplink3</v>
      </c>
    </row>
    <row r="444" spans="1:48" x14ac:dyDescent="0.25">
      <c r="A444" s="9">
        <v>27355</v>
      </c>
      <c r="B444" s="10" t="s">
        <v>20</v>
      </c>
      <c r="C444" s="10" t="s">
        <v>802</v>
      </c>
      <c r="D444" s="10" t="s">
        <v>829</v>
      </c>
      <c r="E444" s="10" t="s">
        <v>830</v>
      </c>
      <c r="F444" s="10">
        <v>36.81731267</v>
      </c>
      <c r="G444" s="10">
        <v>42.417493550000003</v>
      </c>
      <c r="H444" s="11">
        <v>200</v>
      </c>
      <c r="I444" s="11">
        <v>1200</v>
      </c>
      <c r="J444" s="11"/>
      <c r="K444" s="11"/>
      <c r="L444" s="11"/>
      <c r="M444" s="11"/>
      <c r="N444" s="11">
        <v>200</v>
      </c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>
        <v>200</v>
      </c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>
        <v>200</v>
      </c>
      <c r="AP444" s="11"/>
      <c r="AQ444" s="11"/>
      <c r="AR444" s="11"/>
      <c r="AS444" s="11"/>
      <c r="AT444" s="20" t="str">
        <f>HYPERLINK("http://www.openstreetmap.org/?mlat=36.8173&amp;mlon=42.4175&amp;zoom=12#map=12/36.8173/42.4175","Maplink1")</f>
        <v>Maplink1</v>
      </c>
      <c r="AU444" s="20" t="str">
        <f>HYPERLINK("https://www.google.iq/maps/search/+36.8173,42.4175/@36.8173,42.4175,14z?hl=en","Maplink2")</f>
        <v>Maplink2</v>
      </c>
      <c r="AV444" s="20" t="str">
        <f>HYPERLINK("http://www.bing.com/maps/?lvl=14&amp;sty=h&amp;cp=36.8173~42.4175&amp;sp=point.36.8173_42.4175","Maplink3")</f>
        <v>Maplink3</v>
      </c>
    </row>
    <row r="445" spans="1:48" s="19" customFormat="1" x14ac:dyDescent="0.25">
      <c r="A445" s="9">
        <v>25686</v>
      </c>
      <c r="B445" s="10" t="s">
        <v>20</v>
      </c>
      <c r="C445" s="10" t="s">
        <v>802</v>
      </c>
      <c r="D445" s="10" t="s">
        <v>831</v>
      </c>
      <c r="E445" s="10" t="s">
        <v>832</v>
      </c>
      <c r="F445" s="10">
        <v>36.805915579999997</v>
      </c>
      <c r="G445" s="10">
        <v>42.08635511</v>
      </c>
      <c r="H445" s="11">
        <v>160</v>
      </c>
      <c r="I445" s="11">
        <v>960</v>
      </c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>
        <v>160</v>
      </c>
      <c r="W445" s="11"/>
      <c r="X445" s="11"/>
      <c r="Y445" s="11"/>
      <c r="Z445" s="11"/>
      <c r="AA445" s="11"/>
      <c r="AB445" s="11"/>
      <c r="AC445" s="11">
        <v>160</v>
      </c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>
        <v>155</v>
      </c>
      <c r="AP445" s="11"/>
      <c r="AQ445" s="11"/>
      <c r="AR445" s="11">
        <v>5</v>
      </c>
      <c r="AS445" s="11"/>
      <c r="AT445" s="20" t="str">
        <f>HYPERLINK("http://www.openstreetmap.org/?mlat=36.8059&amp;mlon=42.0864&amp;zoom=12#map=12/36.8059/42.0864","Maplink1")</f>
        <v>Maplink1</v>
      </c>
      <c r="AU445" s="20" t="str">
        <f>HYPERLINK("https://www.google.iq/maps/search/+36.8059,42.0864/@36.8059,42.0864,14z?hl=en","Maplink2")</f>
        <v>Maplink2</v>
      </c>
      <c r="AV445" s="20" t="str">
        <f>HYPERLINK("http://www.bing.com/maps/?lvl=14&amp;sty=h&amp;cp=36.8059~42.0864&amp;sp=point.36.8059_42.0864","Maplink3")</f>
        <v>Maplink3</v>
      </c>
    </row>
    <row r="446" spans="1:48" s="19" customFormat="1" x14ac:dyDescent="0.25">
      <c r="A446" s="9">
        <v>18308</v>
      </c>
      <c r="B446" s="10" t="s">
        <v>20</v>
      </c>
      <c r="C446" s="10" t="s">
        <v>802</v>
      </c>
      <c r="D446" s="10" t="s">
        <v>125</v>
      </c>
      <c r="E446" s="10" t="s">
        <v>833</v>
      </c>
      <c r="F446" s="10">
        <v>36.802901009999999</v>
      </c>
      <c r="G446" s="10">
        <v>42.097400810000003</v>
      </c>
      <c r="H446" s="11">
        <v>1018</v>
      </c>
      <c r="I446" s="11">
        <v>6108</v>
      </c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>
        <v>1018</v>
      </c>
      <c r="W446" s="11"/>
      <c r="X446" s="11"/>
      <c r="Y446" s="11"/>
      <c r="Z446" s="11"/>
      <c r="AA446" s="11"/>
      <c r="AB446" s="11"/>
      <c r="AC446" s="11">
        <v>1018</v>
      </c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>
        <v>1013</v>
      </c>
      <c r="AP446" s="11"/>
      <c r="AQ446" s="11"/>
      <c r="AR446" s="11">
        <v>5</v>
      </c>
      <c r="AS446" s="11"/>
      <c r="AT446" s="20" t="str">
        <f>HYPERLINK("http://www.openstreetmap.org/?mlat=36.8029&amp;mlon=42.0974&amp;zoom=12#map=12/36.8029/42.0974","Maplink1")</f>
        <v>Maplink1</v>
      </c>
      <c r="AU446" s="20" t="str">
        <f>HYPERLINK("https://www.google.iq/maps/search/+36.8029,42.0974/@36.8029,42.0974,14z?hl=en","Maplink2")</f>
        <v>Maplink2</v>
      </c>
      <c r="AV446" s="20" t="str">
        <f>HYPERLINK("http://www.bing.com/maps/?lvl=14&amp;sty=h&amp;cp=36.8029~42.0974&amp;sp=point.36.8029_42.0974","Maplink3")</f>
        <v>Maplink3</v>
      </c>
    </row>
    <row r="447" spans="1:48" s="19" customFormat="1" x14ac:dyDescent="0.25">
      <c r="A447" s="9">
        <v>24701</v>
      </c>
      <c r="B447" s="10" t="s">
        <v>20</v>
      </c>
      <c r="C447" s="10" t="s">
        <v>802</v>
      </c>
      <c r="D447" s="10" t="s">
        <v>834</v>
      </c>
      <c r="E447" s="10" t="s">
        <v>835</v>
      </c>
      <c r="F447" s="10">
        <v>36.808730920000002</v>
      </c>
      <c r="G447" s="10">
        <v>42.09939206</v>
      </c>
      <c r="H447" s="11">
        <v>384</v>
      </c>
      <c r="I447" s="11">
        <v>2304</v>
      </c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>
        <v>384</v>
      </c>
      <c r="W447" s="11"/>
      <c r="X447" s="11"/>
      <c r="Y447" s="11"/>
      <c r="Z447" s="11"/>
      <c r="AA447" s="11"/>
      <c r="AB447" s="11"/>
      <c r="AC447" s="11">
        <v>384</v>
      </c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>
        <v>344</v>
      </c>
      <c r="AP447" s="11"/>
      <c r="AQ447" s="11"/>
      <c r="AR447" s="11">
        <v>40</v>
      </c>
      <c r="AS447" s="11"/>
      <c r="AT447" s="20" t="str">
        <f>HYPERLINK("http://www.openstreetmap.org/?mlat=36.8087&amp;mlon=42.0994&amp;zoom=12#map=12/36.8087/42.0994","Maplink1")</f>
        <v>Maplink1</v>
      </c>
      <c r="AU447" s="20" t="str">
        <f>HYPERLINK("https://www.google.iq/maps/search/+36.8087,42.0994/@36.8087,42.0994,14z?hl=en","Maplink2")</f>
        <v>Maplink2</v>
      </c>
      <c r="AV447" s="20" t="str">
        <f>HYPERLINK("http://www.bing.com/maps/?lvl=14&amp;sty=h&amp;cp=36.8087~42.0994&amp;sp=point.36.8087_42.0994","Maplink3")</f>
        <v>Maplink3</v>
      </c>
    </row>
    <row r="448" spans="1:48" s="19" customFormat="1" x14ac:dyDescent="0.25">
      <c r="A448" s="9">
        <v>18305</v>
      </c>
      <c r="B448" s="10" t="s">
        <v>20</v>
      </c>
      <c r="C448" s="10" t="s">
        <v>802</v>
      </c>
      <c r="D448" s="10" t="s">
        <v>836</v>
      </c>
      <c r="E448" s="10" t="s">
        <v>837</v>
      </c>
      <c r="F448" s="10">
        <v>36.387099999999997</v>
      </c>
      <c r="G448" s="10">
        <v>42.460900000000002</v>
      </c>
      <c r="H448" s="11">
        <v>10</v>
      </c>
      <c r="I448" s="11">
        <v>60</v>
      </c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>
        <v>10</v>
      </c>
      <c r="W448" s="11"/>
      <c r="X448" s="11"/>
      <c r="Y448" s="11"/>
      <c r="Z448" s="11"/>
      <c r="AA448" s="11"/>
      <c r="AB448" s="11"/>
      <c r="AC448" s="11">
        <v>10</v>
      </c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>
        <v>10</v>
      </c>
      <c r="AP448" s="11"/>
      <c r="AQ448" s="11"/>
      <c r="AR448" s="11"/>
      <c r="AS448" s="11"/>
      <c r="AT448" s="20" t="str">
        <f>HYPERLINK("http://www.openstreetmap.org/?mlat=36.3871&amp;mlon=42.4609&amp;zoom=12#map=12/36.3871/42.4609","Maplink1")</f>
        <v>Maplink1</v>
      </c>
      <c r="AU448" s="20" t="str">
        <f>HYPERLINK("https://www.google.iq/maps/search/+36.3871,42.4609/@36.3871,42.4609,14z?hl=en","Maplink2")</f>
        <v>Maplink2</v>
      </c>
      <c r="AV448" s="20" t="str">
        <f>HYPERLINK("http://www.bing.com/maps/?lvl=14&amp;sty=h&amp;cp=36.3871~42.4609&amp;sp=point.36.3871_42.4609","Maplink3")</f>
        <v>Maplink3</v>
      </c>
    </row>
    <row r="449" spans="1:48" s="19" customFormat="1" x14ac:dyDescent="0.25">
      <c r="A449" s="9">
        <v>25688</v>
      </c>
      <c r="B449" s="10" t="s">
        <v>20</v>
      </c>
      <c r="C449" s="10" t="s">
        <v>802</v>
      </c>
      <c r="D449" s="10" t="s">
        <v>838</v>
      </c>
      <c r="E449" s="10" t="s">
        <v>839</v>
      </c>
      <c r="F449" s="10">
        <v>36.807910980000003</v>
      </c>
      <c r="G449" s="10">
        <v>42.082697750000001</v>
      </c>
      <c r="H449" s="11">
        <v>405</v>
      </c>
      <c r="I449" s="11">
        <v>2430</v>
      </c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>
        <v>405</v>
      </c>
      <c r="W449" s="11"/>
      <c r="X449" s="11"/>
      <c r="Y449" s="11"/>
      <c r="Z449" s="11"/>
      <c r="AA449" s="11"/>
      <c r="AB449" s="11"/>
      <c r="AC449" s="11">
        <v>405</v>
      </c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>
        <v>395</v>
      </c>
      <c r="AP449" s="11"/>
      <c r="AQ449" s="11"/>
      <c r="AR449" s="11">
        <v>10</v>
      </c>
      <c r="AS449" s="11"/>
      <c r="AT449" s="20" t="str">
        <f>HYPERLINK("http://www.openstreetmap.org/?mlat=36.8079&amp;mlon=42.0827&amp;zoom=12#map=12/36.8079/42.0827","Maplink1")</f>
        <v>Maplink1</v>
      </c>
      <c r="AU449" s="20" t="str">
        <f>HYPERLINK("https://www.google.iq/maps/search/+36.8079,42.0827/@36.8079,42.0827,14z?hl=en","Maplink2")</f>
        <v>Maplink2</v>
      </c>
      <c r="AV449" s="20" t="str">
        <f>HYPERLINK("http://www.bing.com/maps/?lvl=14&amp;sty=h&amp;cp=36.8079~42.0827&amp;sp=point.36.8079_42.0827","Maplink3")</f>
        <v>Maplink3</v>
      </c>
    </row>
    <row r="450" spans="1:48" s="19" customFormat="1" x14ac:dyDescent="0.25">
      <c r="A450" s="9">
        <v>18303</v>
      </c>
      <c r="B450" s="10" t="s">
        <v>20</v>
      </c>
      <c r="C450" s="10" t="s">
        <v>802</v>
      </c>
      <c r="D450" s="10" t="s">
        <v>840</v>
      </c>
      <c r="E450" s="10" t="s">
        <v>614</v>
      </c>
      <c r="F450" s="10">
        <v>36.388599999999997</v>
      </c>
      <c r="G450" s="10">
        <v>42.463999999999999</v>
      </c>
      <c r="H450" s="11">
        <v>16</v>
      </c>
      <c r="I450" s="11">
        <v>96</v>
      </c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>
        <v>16</v>
      </c>
      <c r="W450" s="11"/>
      <c r="X450" s="11"/>
      <c r="Y450" s="11"/>
      <c r="Z450" s="11"/>
      <c r="AA450" s="11"/>
      <c r="AB450" s="11"/>
      <c r="AC450" s="11">
        <v>16</v>
      </c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>
        <v>16</v>
      </c>
      <c r="AP450" s="11"/>
      <c r="AQ450" s="11"/>
      <c r="AR450" s="11"/>
      <c r="AS450" s="11"/>
      <c r="AT450" s="20" t="str">
        <f>HYPERLINK("http://www.openstreetmap.org/?mlat=36.3886&amp;mlon=42.464&amp;zoom=12#map=12/36.3886/42.464","Maplink1")</f>
        <v>Maplink1</v>
      </c>
      <c r="AU450" s="20" t="str">
        <f>HYPERLINK("https://www.google.iq/maps/search/+36.3886,42.464/@36.3886,42.464,14z?hl=en","Maplink2")</f>
        <v>Maplink2</v>
      </c>
      <c r="AV450" s="20" t="str">
        <f>HYPERLINK("http://www.bing.com/maps/?lvl=14&amp;sty=h&amp;cp=36.3886~42.464&amp;sp=point.36.3886_42.464","Maplink3")</f>
        <v>Maplink3</v>
      </c>
    </row>
    <row r="451" spans="1:48" s="19" customFormat="1" x14ac:dyDescent="0.25">
      <c r="A451" s="9">
        <v>25687</v>
      </c>
      <c r="B451" s="10" t="s">
        <v>20</v>
      </c>
      <c r="C451" s="10" t="s">
        <v>802</v>
      </c>
      <c r="D451" s="10" t="s">
        <v>841</v>
      </c>
      <c r="E451" s="10" t="s">
        <v>842</v>
      </c>
      <c r="F451" s="10">
        <v>36.799288140000002</v>
      </c>
      <c r="G451" s="10">
        <v>42.095022759999999</v>
      </c>
      <c r="H451" s="11">
        <v>123</v>
      </c>
      <c r="I451" s="11">
        <v>738</v>
      </c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>
        <v>123</v>
      </c>
      <c r="W451" s="11"/>
      <c r="X451" s="11"/>
      <c r="Y451" s="11"/>
      <c r="Z451" s="11"/>
      <c r="AA451" s="11"/>
      <c r="AB451" s="11"/>
      <c r="AC451" s="11">
        <v>123</v>
      </c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>
        <v>122</v>
      </c>
      <c r="AP451" s="11"/>
      <c r="AQ451" s="11"/>
      <c r="AR451" s="11">
        <v>1</v>
      </c>
      <c r="AS451" s="11"/>
      <c r="AT451" s="20" t="str">
        <f>HYPERLINK("http://www.openstreetmap.org/?mlat=36.7993&amp;mlon=42.095&amp;zoom=12#map=12/36.7993/42.095","Maplink1")</f>
        <v>Maplink1</v>
      </c>
      <c r="AU451" s="20" t="str">
        <f>HYPERLINK("https://www.google.iq/maps/search/+36.7993,42.095/@36.7993,42.095,14z?hl=en","Maplink2")</f>
        <v>Maplink2</v>
      </c>
      <c r="AV451" s="20" t="str">
        <f>HYPERLINK("http://www.bing.com/maps/?lvl=14&amp;sty=h&amp;cp=36.7993~42.095&amp;sp=point.36.7993_42.095","Maplink3")</f>
        <v>Maplink3</v>
      </c>
    </row>
    <row r="452" spans="1:48" s="19" customFormat="1" x14ac:dyDescent="0.25">
      <c r="A452" s="9">
        <v>18309</v>
      </c>
      <c r="B452" s="10" t="s">
        <v>20</v>
      </c>
      <c r="C452" s="10" t="s">
        <v>802</v>
      </c>
      <c r="D452" s="10" t="s">
        <v>843</v>
      </c>
      <c r="E452" s="10" t="s">
        <v>546</v>
      </c>
      <c r="F452" s="10">
        <v>36.382599999999996</v>
      </c>
      <c r="G452" s="10">
        <v>42.4651</v>
      </c>
      <c r="H452" s="11">
        <v>20</v>
      </c>
      <c r="I452" s="11">
        <v>120</v>
      </c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>
        <v>20</v>
      </c>
      <c r="W452" s="11"/>
      <c r="X452" s="11"/>
      <c r="Y452" s="11"/>
      <c r="Z452" s="11"/>
      <c r="AA452" s="11"/>
      <c r="AB452" s="11"/>
      <c r="AC452" s="11">
        <v>20</v>
      </c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>
        <v>20</v>
      </c>
      <c r="AP452" s="11"/>
      <c r="AQ452" s="11"/>
      <c r="AR452" s="11"/>
      <c r="AS452" s="11"/>
      <c r="AT452" s="20" t="str">
        <f>HYPERLINK("http://www.openstreetmap.org/?mlat=36.3826&amp;mlon=42.4651&amp;zoom=12#map=12/36.3826/42.4651","Maplink1")</f>
        <v>Maplink1</v>
      </c>
      <c r="AU452" s="20" t="str">
        <f>HYPERLINK("https://www.google.iq/maps/search/+36.3826,42.4651/@36.3826,42.4651,14z?hl=en","Maplink2")</f>
        <v>Maplink2</v>
      </c>
      <c r="AV452" s="20" t="str">
        <f>HYPERLINK("http://www.bing.com/maps/?lvl=14&amp;sty=h&amp;cp=36.3826~42.4651&amp;sp=point.36.3826_42.4651","Maplink3")</f>
        <v>Maplink3</v>
      </c>
    </row>
    <row r="453" spans="1:48" s="19" customFormat="1" x14ac:dyDescent="0.25">
      <c r="A453" s="9">
        <v>18304</v>
      </c>
      <c r="B453" s="10" t="s">
        <v>20</v>
      </c>
      <c r="C453" s="10" t="s">
        <v>802</v>
      </c>
      <c r="D453" s="10" t="s">
        <v>844</v>
      </c>
      <c r="E453" s="10" t="s">
        <v>845</v>
      </c>
      <c r="F453" s="10">
        <v>36.367199999999997</v>
      </c>
      <c r="G453" s="10">
        <v>42.432099999999998</v>
      </c>
      <c r="H453" s="11">
        <v>25</v>
      </c>
      <c r="I453" s="11">
        <v>150</v>
      </c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>
        <v>25</v>
      </c>
      <c r="W453" s="11"/>
      <c r="X453" s="11"/>
      <c r="Y453" s="11"/>
      <c r="Z453" s="11"/>
      <c r="AA453" s="11"/>
      <c r="AB453" s="11"/>
      <c r="AC453" s="11">
        <v>25</v>
      </c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>
        <v>25</v>
      </c>
      <c r="AP453" s="11"/>
      <c r="AQ453" s="11"/>
      <c r="AR453" s="11"/>
      <c r="AS453" s="11"/>
      <c r="AT453" s="20" t="str">
        <f>HYPERLINK("http://www.openstreetmap.org/?mlat=36.3672&amp;mlon=42.4321&amp;zoom=12#map=12/36.3672/42.4321","Maplink1")</f>
        <v>Maplink1</v>
      </c>
      <c r="AU453" s="20" t="str">
        <f>HYPERLINK("https://www.google.iq/maps/search/+36.3672,42.4321/@36.3672,42.4321,14z?hl=en","Maplink2")</f>
        <v>Maplink2</v>
      </c>
      <c r="AV453" s="20" t="str">
        <f>HYPERLINK("http://www.bing.com/maps/?lvl=14&amp;sty=h&amp;cp=36.3672~42.4321&amp;sp=point.36.3672_42.4321","Maplink3")</f>
        <v>Maplink3</v>
      </c>
    </row>
    <row r="454" spans="1:48" s="19" customFormat="1" x14ac:dyDescent="0.25">
      <c r="A454" s="9">
        <v>25819</v>
      </c>
      <c r="B454" s="10" t="s">
        <v>20</v>
      </c>
      <c r="C454" s="10" t="s">
        <v>802</v>
      </c>
      <c r="D454" s="10" t="s">
        <v>1169</v>
      </c>
      <c r="E454" s="10" t="s">
        <v>528</v>
      </c>
      <c r="F454" s="10">
        <v>36.373399999999997</v>
      </c>
      <c r="G454" s="10">
        <v>42.4651</v>
      </c>
      <c r="H454" s="11">
        <v>53</v>
      </c>
      <c r="I454" s="11">
        <v>318</v>
      </c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>
        <v>53</v>
      </c>
      <c r="W454" s="11"/>
      <c r="X454" s="11"/>
      <c r="Y454" s="11"/>
      <c r="Z454" s="11"/>
      <c r="AA454" s="11"/>
      <c r="AB454" s="11"/>
      <c r="AC454" s="11">
        <v>53</v>
      </c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>
        <v>53</v>
      </c>
      <c r="AP454" s="11"/>
      <c r="AQ454" s="11"/>
      <c r="AR454" s="11"/>
      <c r="AS454" s="11"/>
      <c r="AT454" s="20" t="str">
        <f>HYPERLINK("http://www.openstreetmap.org/?mlat=36.3734&amp;mlon=42.4651&amp;zoom=12#map=12/36.3734/42.4651","Maplink1")</f>
        <v>Maplink1</v>
      </c>
      <c r="AU454" s="20" t="str">
        <f>HYPERLINK("https://www.google.iq/maps/search/+36.3734,42.4651/@36.3734,42.4651,14z?hl=en","Maplink2")</f>
        <v>Maplink2</v>
      </c>
      <c r="AV454" s="20" t="str">
        <f>HYPERLINK("http://www.bing.com/maps/?lvl=14&amp;sty=h&amp;cp=36.3734~42.4651&amp;sp=point.36.3734_42.4651","Maplink3")</f>
        <v>Maplink3</v>
      </c>
    </row>
    <row r="455" spans="1:48" s="19" customFormat="1" x14ac:dyDescent="0.25">
      <c r="A455" s="9">
        <v>25808</v>
      </c>
      <c r="B455" s="10" t="s">
        <v>20</v>
      </c>
      <c r="C455" s="10" t="s">
        <v>802</v>
      </c>
      <c r="D455" s="10" t="s">
        <v>846</v>
      </c>
      <c r="E455" s="10" t="s">
        <v>847</v>
      </c>
      <c r="F455" s="10">
        <v>36.804023440000002</v>
      </c>
      <c r="G455" s="10">
        <v>42.086926939999998</v>
      </c>
      <c r="H455" s="11">
        <v>505</v>
      </c>
      <c r="I455" s="11">
        <v>3030</v>
      </c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>
        <v>505</v>
      </c>
      <c r="W455" s="11"/>
      <c r="X455" s="11"/>
      <c r="Y455" s="11"/>
      <c r="Z455" s="11"/>
      <c r="AA455" s="11"/>
      <c r="AB455" s="11"/>
      <c r="AC455" s="11">
        <v>505</v>
      </c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>
        <v>505</v>
      </c>
      <c r="AP455" s="11"/>
      <c r="AQ455" s="11"/>
      <c r="AR455" s="11"/>
      <c r="AS455" s="11"/>
      <c r="AT455" s="20" t="str">
        <f>HYPERLINK("http://www.openstreetmap.org/?mlat=36.804&amp;mlon=42.0869&amp;zoom=12#map=12/36.804/42.0869","Maplink1")</f>
        <v>Maplink1</v>
      </c>
      <c r="AU455" s="20" t="str">
        <f>HYPERLINK("https://www.google.iq/maps/search/+36.804,42.0869/@36.804,42.0869,14z?hl=en","Maplink2")</f>
        <v>Maplink2</v>
      </c>
      <c r="AV455" s="20" t="str">
        <f>HYPERLINK("http://www.bing.com/maps/?lvl=14&amp;sty=h&amp;cp=36.804~42.0869&amp;sp=point.36.804_42.0869","Maplink3")</f>
        <v>Maplink3</v>
      </c>
    </row>
    <row r="456" spans="1:48" x14ac:dyDescent="0.25">
      <c r="A456" s="9">
        <v>25807</v>
      </c>
      <c r="B456" s="10" t="s">
        <v>20</v>
      </c>
      <c r="C456" s="10" t="s">
        <v>802</v>
      </c>
      <c r="D456" s="10" t="s">
        <v>848</v>
      </c>
      <c r="E456" s="10" t="s">
        <v>849</v>
      </c>
      <c r="F456" s="10">
        <v>36.801679610000001</v>
      </c>
      <c r="G456" s="10">
        <v>42.0950682</v>
      </c>
      <c r="H456" s="11">
        <v>217</v>
      </c>
      <c r="I456" s="11">
        <v>1302</v>
      </c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>
        <v>217</v>
      </c>
      <c r="W456" s="11"/>
      <c r="X456" s="11"/>
      <c r="Y456" s="11"/>
      <c r="Z456" s="11"/>
      <c r="AA456" s="11"/>
      <c r="AB456" s="11"/>
      <c r="AC456" s="11">
        <v>217</v>
      </c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>
        <v>217</v>
      </c>
      <c r="AP456" s="11"/>
      <c r="AQ456" s="11"/>
      <c r="AR456" s="11"/>
      <c r="AS456" s="11"/>
      <c r="AT456" s="20" t="str">
        <f>HYPERLINK("http://www.openstreetmap.org/?mlat=36.8017&amp;mlon=42.0951&amp;zoom=12#map=12/36.8017/42.0951","Maplink1")</f>
        <v>Maplink1</v>
      </c>
      <c r="AU456" s="20" t="str">
        <f>HYPERLINK("https://www.google.iq/maps/search/+36.8017,42.0951/@36.8017,42.0951,14z?hl=en","Maplink2")</f>
        <v>Maplink2</v>
      </c>
      <c r="AV456" s="20" t="str">
        <f>HYPERLINK("http://www.bing.com/maps/?lvl=14&amp;sty=h&amp;cp=36.8017~42.0951&amp;sp=point.36.8017_42.0951","Maplink3")</f>
        <v>Maplink3</v>
      </c>
    </row>
    <row r="457" spans="1:48" x14ac:dyDescent="0.25">
      <c r="A457" s="9">
        <v>27395</v>
      </c>
      <c r="B457" s="10" t="s">
        <v>20</v>
      </c>
      <c r="C457" s="10" t="s">
        <v>802</v>
      </c>
      <c r="D457" s="10" t="s">
        <v>850</v>
      </c>
      <c r="E457" s="10" t="s">
        <v>851</v>
      </c>
      <c r="F457" s="10">
        <v>36.563204040000002</v>
      </c>
      <c r="G457" s="10">
        <v>42.556955940000002</v>
      </c>
      <c r="H457" s="11">
        <v>150</v>
      </c>
      <c r="I457" s="11">
        <v>900</v>
      </c>
      <c r="J457" s="11"/>
      <c r="K457" s="11"/>
      <c r="L457" s="11"/>
      <c r="M457" s="11"/>
      <c r="N457" s="11">
        <v>138</v>
      </c>
      <c r="O457" s="11"/>
      <c r="P457" s="11"/>
      <c r="Q457" s="11"/>
      <c r="R457" s="11"/>
      <c r="S457" s="11"/>
      <c r="T457" s="11"/>
      <c r="U457" s="11"/>
      <c r="V457" s="11">
        <v>12</v>
      </c>
      <c r="W457" s="11"/>
      <c r="X457" s="11"/>
      <c r="Y457" s="11"/>
      <c r="Z457" s="11"/>
      <c r="AA457" s="11"/>
      <c r="AB457" s="11"/>
      <c r="AC457" s="11">
        <v>138</v>
      </c>
      <c r="AD457" s="11">
        <v>12</v>
      </c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>
        <v>150</v>
      </c>
      <c r="AP457" s="11"/>
      <c r="AQ457" s="11"/>
      <c r="AR457" s="11"/>
      <c r="AS457" s="11"/>
      <c r="AT457" s="20" t="str">
        <f>HYPERLINK("http://www.openstreetmap.org/?mlat=36.5632&amp;mlon=42.557&amp;zoom=12#map=12/36.5632/42.557","Maplink1")</f>
        <v>Maplink1</v>
      </c>
      <c r="AU457" s="20" t="str">
        <f>HYPERLINK("https://www.google.iq/maps/search/+36.5632,42.557/@36.5632,42.557,14z?hl=en","Maplink2")</f>
        <v>Maplink2</v>
      </c>
      <c r="AV457" s="20" t="str">
        <f>HYPERLINK("http://www.bing.com/maps/?lvl=14&amp;sty=h&amp;cp=36.5632~42.557&amp;sp=point.36.5632_42.557","Maplink3")</f>
        <v>Maplink3</v>
      </c>
    </row>
    <row r="458" spans="1:48" x14ac:dyDescent="0.25">
      <c r="A458" s="9">
        <v>27357</v>
      </c>
      <c r="B458" s="10" t="s">
        <v>20</v>
      </c>
      <c r="C458" s="10" t="s">
        <v>802</v>
      </c>
      <c r="D458" s="10" t="s">
        <v>852</v>
      </c>
      <c r="E458" s="10" t="s">
        <v>853</v>
      </c>
      <c r="F458" s="10">
        <v>36.550674970000003</v>
      </c>
      <c r="G458" s="10">
        <v>42.069208519999997</v>
      </c>
      <c r="H458" s="11">
        <v>80</v>
      </c>
      <c r="I458" s="11">
        <v>480</v>
      </c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>
        <v>80</v>
      </c>
      <c r="W458" s="11"/>
      <c r="X458" s="11"/>
      <c r="Y458" s="11"/>
      <c r="Z458" s="11"/>
      <c r="AA458" s="11"/>
      <c r="AB458" s="11"/>
      <c r="AC458" s="11">
        <v>80</v>
      </c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>
        <v>77</v>
      </c>
      <c r="AP458" s="11"/>
      <c r="AQ458" s="11"/>
      <c r="AR458" s="11">
        <v>3</v>
      </c>
      <c r="AS458" s="11"/>
      <c r="AT458" s="20" t="str">
        <f>HYPERLINK("http://www.openstreetmap.org/?mlat=36.5507&amp;mlon=42.0692&amp;zoom=12#map=12/36.5507/42.0692","Maplink1")</f>
        <v>Maplink1</v>
      </c>
      <c r="AU458" s="20" t="str">
        <f>HYPERLINK("https://www.google.iq/maps/search/+36.5507,42.0692/@36.5507,42.0692,14z?hl=en","Maplink2")</f>
        <v>Maplink2</v>
      </c>
      <c r="AV458" s="20" t="str">
        <f>HYPERLINK("http://www.bing.com/maps/?lvl=14&amp;sty=h&amp;cp=36.5507~42.0692&amp;sp=point.36.5507_42.0692","Maplink3")</f>
        <v>Maplink3</v>
      </c>
    </row>
    <row r="459" spans="1:48" x14ac:dyDescent="0.25">
      <c r="A459" s="9">
        <v>27353</v>
      </c>
      <c r="B459" s="10" t="s">
        <v>20</v>
      </c>
      <c r="C459" s="10" t="s">
        <v>802</v>
      </c>
      <c r="D459" s="10" t="s">
        <v>854</v>
      </c>
      <c r="E459" s="10" t="s">
        <v>855</v>
      </c>
      <c r="F459" s="10">
        <v>36.975791620000003</v>
      </c>
      <c r="G459" s="10">
        <v>42.346560930000003</v>
      </c>
      <c r="H459" s="11">
        <v>60</v>
      </c>
      <c r="I459" s="11">
        <v>360</v>
      </c>
      <c r="J459" s="11"/>
      <c r="K459" s="11"/>
      <c r="L459" s="11"/>
      <c r="M459" s="11"/>
      <c r="N459" s="11">
        <v>60</v>
      </c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>
        <v>60</v>
      </c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>
        <v>60</v>
      </c>
      <c r="AP459" s="11"/>
      <c r="AQ459" s="11"/>
      <c r="AR459" s="11"/>
      <c r="AS459" s="11"/>
      <c r="AT459" s="20" t="str">
        <f>HYPERLINK("http://www.openstreetmap.org/?mlat=36.9758&amp;mlon=42.3466&amp;zoom=12#map=12/36.9758/42.3466","Maplink1")</f>
        <v>Maplink1</v>
      </c>
      <c r="AU459" s="20" t="str">
        <f>HYPERLINK("https://www.google.iq/maps/search/+36.9758,42.3466/@36.9758,42.3466,14z?hl=en","Maplink2")</f>
        <v>Maplink2</v>
      </c>
      <c r="AV459" s="20" t="str">
        <f>HYPERLINK("http://www.bing.com/maps/?lvl=14&amp;sty=h&amp;cp=36.9758~42.3466&amp;sp=point.36.9758_42.3466","Maplink3")</f>
        <v>Maplink3</v>
      </c>
    </row>
    <row r="460" spans="1:48" x14ac:dyDescent="0.25">
      <c r="A460" s="9">
        <v>17580</v>
      </c>
      <c r="B460" s="10" t="s">
        <v>20</v>
      </c>
      <c r="C460" s="10" t="s">
        <v>802</v>
      </c>
      <c r="D460" s="10" t="s">
        <v>856</v>
      </c>
      <c r="E460" s="10" t="s">
        <v>857</v>
      </c>
      <c r="F460" s="10">
        <v>36.595528020000003</v>
      </c>
      <c r="G460" s="10">
        <v>42.681642889999999</v>
      </c>
      <c r="H460" s="11">
        <v>310</v>
      </c>
      <c r="I460" s="11">
        <v>1860</v>
      </c>
      <c r="J460" s="11"/>
      <c r="K460" s="11"/>
      <c r="L460" s="11"/>
      <c r="M460" s="11"/>
      <c r="N460" s="11">
        <v>310</v>
      </c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>
        <v>310</v>
      </c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>
        <v>310</v>
      </c>
      <c r="AP460" s="11"/>
      <c r="AQ460" s="11"/>
      <c r="AR460" s="11"/>
      <c r="AS460" s="11"/>
      <c r="AT460" s="20" t="str">
        <f>HYPERLINK("http://www.openstreetmap.org/?mlat=36.5955&amp;mlon=42.6816&amp;zoom=12#map=12/36.5955/42.6816","Maplink1")</f>
        <v>Maplink1</v>
      </c>
      <c r="AU460" s="20" t="str">
        <f>HYPERLINK("https://www.google.iq/maps/search/+36.5955,42.6816/@36.5955,42.6816,14z?hl=en","Maplink2")</f>
        <v>Maplink2</v>
      </c>
      <c r="AV460" s="20" t="str">
        <f>HYPERLINK("http://www.bing.com/maps/?lvl=14&amp;sty=h&amp;cp=36.5955~42.6816&amp;sp=point.36.5955_42.6816","Maplink3")</f>
        <v>Maplink3</v>
      </c>
    </row>
    <row r="461" spans="1:48" x14ac:dyDescent="0.25">
      <c r="A461" s="9">
        <v>22448</v>
      </c>
      <c r="B461" s="10" t="s">
        <v>20</v>
      </c>
      <c r="C461" s="10" t="s">
        <v>802</v>
      </c>
      <c r="D461" s="10" t="s">
        <v>858</v>
      </c>
      <c r="E461" s="10" t="s">
        <v>859</v>
      </c>
      <c r="F461" s="10">
        <v>36.563875529999997</v>
      </c>
      <c r="G461" s="10">
        <v>42.572539570000004</v>
      </c>
      <c r="H461" s="11">
        <v>650</v>
      </c>
      <c r="I461" s="11">
        <v>3900</v>
      </c>
      <c r="J461" s="11"/>
      <c r="K461" s="11"/>
      <c r="L461" s="11"/>
      <c r="M461" s="11"/>
      <c r="N461" s="11">
        <v>650</v>
      </c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>
        <v>650</v>
      </c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>
        <v>650</v>
      </c>
      <c r="AP461" s="11"/>
      <c r="AQ461" s="11"/>
      <c r="AR461" s="11"/>
      <c r="AS461" s="11"/>
      <c r="AT461" s="20" t="str">
        <f>HYPERLINK("http://www.openstreetmap.org/?mlat=36.5639&amp;mlon=42.5725&amp;zoom=12#map=12/36.5639/42.5725","Maplink1")</f>
        <v>Maplink1</v>
      </c>
      <c r="AU461" s="20" t="str">
        <f>HYPERLINK("https://www.google.iq/maps/search/+36.5639,42.5725/@36.5639,42.5725,14z?hl=en","Maplink2")</f>
        <v>Maplink2</v>
      </c>
      <c r="AV461" s="20" t="str">
        <f>HYPERLINK("http://www.bing.com/maps/?lvl=14&amp;sty=h&amp;cp=36.5639~42.5725&amp;sp=point.36.5639_42.5725","Maplink3")</f>
        <v>Maplink3</v>
      </c>
    </row>
    <row r="462" spans="1:48" x14ac:dyDescent="0.25">
      <c r="A462" s="9">
        <v>25693</v>
      </c>
      <c r="B462" s="10" t="s">
        <v>20</v>
      </c>
      <c r="C462" s="10" t="s">
        <v>802</v>
      </c>
      <c r="D462" s="10" t="s">
        <v>860</v>
      </c>
      <c r="E462" s="10" t="s">
        <v>861</v>
      </c>
      <c r="F462" s="10">
        <v>36.546028059999998</v>
      </c>
      <c r="G462" s="10">
        <v>42.477345190000001</v>
      </c>
      <c r="H462" s="11">
        <v>46</v>
      </c>
      <c r="I462" s="11">
        <v>276</v>
      </c>
      <c r="J462" s="11"/>
      <c r="K462" s="11"/>
      <c r="L462" s="11"/>
      <c r="M462" s="11"/>
      <c r="N462" s="11">
        <v>46</v>
      </c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>
        <v>46</v>
      </c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>
        <v>46</v>
      </c>
      <c r="AP462" s="11"/>
      <c r="AQ462" s="11"/>
      <c r="AR462" s="11"/>
      <c r="AS462" s="11"/>
      <c r="AT462" s="20" t="str">
        <f>HYPERLINK("http://www.openstreetmap.org/?mlat=36.546&amp;mlon=42.4773&amp;zoom=12#map=12/36.546/42.4773","Maplink1")</f>
        <v>Maplink1</v>
      </c>
      <c r="AU462" s="20" t="str">
        <f>HYPERLINK("https://www.google.iq/maps/search/+36.546,42.4773/@36.546,42.4773,14z?hl=en","Maplink2")</f>
        <v>Maplink2</v>
      </c>
      <c r="AV462" s="20" t="str">
        <f>HYPERLINK("http://www.bing.com/maps/?lvl=14&amp;sty=h&amp;cp=36.546~42.4773&amp;sp=point.36.546_42.4773","Maplink3")</f>
        <v>Maplink3</v>
      </c>
    </row>
    <row r="463" spans="1:48" x14ac:dyDescent="0.25">
      <c r="A463" s="9">
        <v>25694</v>
      </c>
      <c r="B463" s="10" t="s">
        <v>20</v>
      </c>
      <c r="C463" s="10" t="s">
        <v>802</v>
      </c>
      <c r="D463" s="10" t="s">
        <v>862</v>
      </c>
      <c r="E463" s="10" t="s">
        <v>863</v>
      </c>
      <c r="F463" s="10">
        <v>36.548578999999997</v>
      </c>
      <c r="G463" s="10">
        <v>42.463979999999999</v>
      </c>
      <c r="H463" s="11">
        <v>10</v>
      </c>
      <c r="I463" s="11">
        <v>60</v>
      </c>
      <c r="J463" s="11"/>
      <c r="K463" s="11"/>
      <c r="L463" s="11"/>
      <c r="M463" s="11"/>
      <c r="N463" s="11">
        <v>10</v>
      </c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>
        <v>10</v>
      </c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>
        <v>10</v>
      </c>
      <c r="AP463" s="11"/>
      <c r="AQ463" s="11"/>
      <c r="AR463" s="11"/>
      <c r="AS463" s="11"/>
      <c r="AT463" s="20" t="str">
        <f>HYPERLINK("http://www.openstreetmap.org/?mlat=36.5486&amp;mlon=42.464&amp;zoom=12#map=12/36.5486/42.464","Maplink1")</f>
        <v>Maplink1</v>
      </c>
      <c r="AU463" s="20" t="str">
        <f>HYPERLINK("https://www.google.iq/maps/search/+36.5486,42.464/@36.5486,42.464,14z?hl=en","Maplink2")</f>
        <v>Maplink2</v>
      </c>
      <c r="AV463" s="20" t="str">
        <f>HYPERLINK("http://www.bing.com/maps/?lvl=14&amp;sty=h&amp;cp=36.5486~42.464&amp;sp=point.36.5486_42.464","Maplink3")</f>
        <v>Maplink3</v>
      </c>
    </row>
    <row r="464" spans="1:48" x14ac:dyDescent="0.25">
      <c r="A464" s="9">
        <v>17669</v>
      </c>
      <c r="B464" s="10" t="s">
        <v>20</v>
      </c>
      <c r="C464" s="10" t="s">
        <v>802</v>
      </c>
      <c r="D464" s="10" t="s">
        <v>864</v>
      </c>
      <c r="E464" s="10" t="s">
        <v>865</v>
      </c>
      <c r="F464" s="10">
        <v>36.902262</v>
      </c>
      <c r="G464" s="10">
        <v>42.395274000000001</v>
      </c>
      <c r="H464" s="11">
        <v>75</v>
      </c>
      <c r="I464" s="11">
        <v>450</v>
      </c>
      <c r="J464" s="11"/>
      <c r="K464" s="11"/>
      <c r="L464" s="11"/>
      <c r="M464" s="11"/>
      <c r="N464" s="11">
        <v>75</v>
      </c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>
        <v>75</v>
      </c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>
        <v>75</v>
      </c>
      <c r="AP464" s="11"/>
      <c r="AQ464" s="11"/>
      <c r="AR464" s="11"/>
      <c r="AS464" s="11"/>
      <c r="AT464" s="20" t="str">
        <f>HYPERLINK("http://www.openstreetmap.org/?mlat=36.9023&amp;mlon=42.3953&amp;zoom=12#map=12/36.9023/42.3953","Maplink1")</f>
        <v>Maplink1</v>
      </c>
      <c r="AU464" s="20" t="str">
        <f>HYPERLINK("https://www.google.iq/maps/search/+36.9023,42.3953/@36.9023,42.3953,14z?hl=en","Maplink2")</f>
        <v>Maplink2</v>
      </c>
      <c r="AV464" s="20" t="str">
        <f>HYPERLINK("http://www.bing.com/maps/?lvl=14&amp;sty=h&amp;cp=36.9023~42.3953&amp;sp=point.36.9023_42.3953","Maplink3")</f>
        <v>Maplink3</v>
      </c>
    </row>
    <row r="465" spans="1:48" x14ac:dyDescent="0.25">
      <c r="A465" s="9">
        <v>28451</v>
      </c>
      <c r="B465" s="10" t="s">
        <v>20</v>
      </c>
      <c r="C465" s="10" t="s">
        <v>802</v>
      </c>
      <c r="D465" s="10" t="s">
        <v>866</v>
      </c>
      <c r="E465" s="10" t="s">
        <v>867</v>
      </c>
      <c r="F465" s="10">
        <v>36.729982</v>
      </c>
      <c r="G465" s="10">
        <v>42.389882</v>
      </c>
      <c r="H465" s="11">
        <v>405</v>
      </c>
      <c r="I465" s="11">
        <v>2430</v>
      </c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>
        <v>405</v>
      </c>
      <c r="W465" s="11"/>
      <c r="X465" s="11"/>
      <c r="Y465" s="11"/>
      <c r="Z465" s="11"/>
      <c r="AA465" s="11"/>
      <c r="AB465" s="11"/>
      <c r="AC465" s="11">
        <v>405</v>
      </c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>
        <v>405</v>
      </c>
      <c r="AP465" s="11"/>
      <c r="AQ465" s="11"/>
      <c r="AR465" s="11"/>
      <c r="AS465" s="11"/>
      <c r="AT465" s="20" t="str">
        <f>HYPERLINK("http://www.openstreetmap.org/?mlat=36.73&amp;mlon=42.3899&amp;zoom=12#map=12/36.73/42.3899","Maplink1")</f>
        <v>Maplink1</v>
      </c>
      <c r="AU465" s="20" t="str">
        <f>HYPERLINK("https://www.google.iq/maps/search/+36.73,42.3899/@36.73,42.3899,14z?hl=en","Maplink2")</f>
        <v>Maplink2</v>
      </c>
      <c r="AV465" s="20" t="str">
        <f>HYPERLINK("http://www.bing.com/maps/?lvl=14&amp;sty=h&amp;cp=36.73~42.3899&amp;sp=point.36.73_42.3899","Maplink3")</f>
        <v>Maplink3</v>
      </c>
    </row>
    <row r="466" spans="1:48" x14ac:dyDescent="0.25">
      <c r="A466" s="9">
        <v>17665</v>
      </c>
      <c r="B466" s="10" t="s">
        <v>20</v>
      </c>
      <c r="C466" s="10" t="s">
        <v>802</v>
      </c>
      <c r="D466" s="10" t="s">
        <v>868</v>
      </c>
      <c r="E466" s="10" t="s">
        <v>869</v>
      </c>
      <c r="F466" s="10">
        <v>36.844475000000003</v>
      </c>
      <c r="G466" s="10">
        <v>42.35772</v>
      </c>
      <c r="H466" s="11">
        <v>97</v>
      </c>
      <c r="I466" s="11">
        <v>582</v>
      </c>
      <c r="J466" s="11"/>
      <c r="K466" s="11"/>
      <c r="L466" s="11"/>
      <c r="M466" s="11"/>
      <c r="N466" s="11">
        <v>97</v>
      </c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>
        <v>97</v>
      </c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>
        <v>97</v>
      </c>
      <c r="AP466" s="11"/>
      <c r="AQ466" s="11"/>
      <c r="AR466" s="11"/>
      <c r="AS466" s="11"/>
      <c r="AT466" s="20" t="str">
        <f>HYPERLINK("http://www.openstreetmap.org/?mlat=36.8445&amp;mlon=42.3577&amp;zoom=12#map=12/36.8445/42.3577","Maplink1")</f>
        <v>Maplink1</v>
      </c>
      <c r="AU466" s="20" t="str">
        <f>HYPERLINK("https://www.google.iq/maps/search/+36.8445,42.3577/@36.8445,42.3577,14z?hl=en","Maplink2")</f>
        <v>Maplink2</v>
      </c>
      <c r="AV466" s="20" t="str">
        <f>HYPERLINK("http://www.bing.com/maps/?lvl=14&amp;sty=h&amp;cp=36.8445~42.3577&amp;sp=point.36.8445_42.3577","Maplink3")</f>
        <v>Maplink3</v>
      </c>
    </row>
    <row r="467" spans="1:48" x14ac:dyDescent="0.25">
      <c r="A467" s="9">
        <v>25695</v>
      </c>
      <c r="B467" s="10" t="s">
        <v>20</v>
      </c>
      <c r="C467" s="10" t="s">
        <v>802</v>
      </c>
      <c r="D467" s="10" t="s">
        <v>870</v>
      </c>
      <c r="E467" s="10" t="s">
        <v>871</v>
      </c>
      <c r="F467" s="10">
        <v>36.903126999999998</v>
      </c>
      <c r="G467" s="10">
        <v>42.393847999999998</v>
      </c>
      <c r="H467" s="11">
        <v>700</v>
      </c>
      <c r="I467" s="11">
        <v>4200</v>
      </c>
      <c r="J467" s="11"/>
      <c r="K467" s="11"/>
      <c r="L467" s="11"/>
      <c r="M467" s="11"/>
      <c r="N467" s="11">
        <v>700</v>
      </c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>
        <v>648</v>
      </c>
      <c r="AD467" s="11">
        <v>52</v>
      </c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>
        <v>700</v>
      </c>
      <c r="AP467" s="11"/>
      <c r="AQ467" s="11"/>
      <c r="AR467" s="11"/>
      <c r="AS467" s="11"/>
      <c r="AT467" s="20" t="str">
        <f>HYPERLINK("http://www.openstreetmap.org/?mlat=36.9031&amp;mlon=42.3938&amp;zoom=12#map=12/36.9031/42.3938","Maplink1")</f>
        <v>Maplink1</v>
      </c>
      <c r="AU467" s="20" t="str">
        <f>HYPERLINK("https://www.google.iq/maps/search/+36.9031,42.3938/@36.9031,42.3938,14z?hl=en","Maplink2")</f>
        <v>Maplink2</v>
      </c>
      <c r="AV467" s="20" t="str">
        <f>HYPERLINK("http://www.bing.com/maps/?lvl=14&amp;sty=h&amp;cp=36.9031~42.3938&amp;sp=point.36.9031_42.3938","Maplink3")</f>
        <v>Maplink3</v>
      </c>
    </row>
    <row r="468" spans="1:48" x14ac:dyDescent="0.25">
      <c r="A468" s="9">
        <v>17663</v>
      </c>
      <c r="B468" s="10" t="s">
        <v>20</v>
      </c>
      <c r="C468" s="10" t="s">
        <v>802</v>
      </c>
      <c r="D468" s="10" t="s">
        <v>872</v>
      </c>
      <c r="E468" s="10" t="s">
        <v>873</v>
      </c>
      <c r="F468" s="10">
        <v>36.813149189999997</v>
      </c>
      <c r="G468" s="10">
        <v>42.263304830000003</v>
      </c>
      <c r="H468" s="11">
        <v>68</v>
      </c>
      <c r="I468" s="11">
        <v>408</v>
      </c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>
        <v>68</v>
      </c>
      <c r="W468" s="11"/>
      <c r="X468" s="11"/>
      <c r="Y468" s="11"/>
      <c r="Z468" s="11"/>
      <c r="AA468" s="11"/>
      <c r="AB468" s="11"/>
      <c r="AC468" s="11">
        <v>68</v>
      </c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>
        <v>65</v>
      </c>
      <c r="AP468" s="11"/>
      <c r="AQ468" s="11"/>
      <c r="AR468" s="11">
        <v>3</v>
      </c>
      <c r="AS468" s="11"/>
      <c r="AT468" s="20" t="str">
        <f>HYPERLINK("http://www.openstreetmap.org/?mlat=36.8131&amp;mlon=42.2633&amp;zoom=12#map=12/36.8131/42.2633","Maplink1")</f>
        <v>Maplink1</v>
      </c>
      <c r="AU468" s="20" t="str">
        <f>HYPERLINK("https://www.google.iq/maps/search/+36.8131,42.2633/@36.8131,42.2633,14z?hl=en","Maplink2")</f>
        <v>Maplink2</v>
      </c>
      <c r="AV468" s="20" t="str">
        <f>HYPERLINK("http://www.bing.com/maps/?lvl=14&amp;sty=h&amp;cp=36.8131~42.2633&amp;sp=point.36.8131_42.2633","Maplink3")</f>
        <v>Maplink3</v>
      </c>
    </row>
    <row r="469" spans="1:48" x14ac:dyDescent="0.25">
      <c r="A469" s="9">
        <v>25893</v>
      </c>
      <c r="B469" s="10" t="s">
        <v>20</v>
      </c>
      <c r="C469" s="10" t="s">
        <v>802</v>
      </c>
      <c r="D469" s="10" t="s">
        <v>874</v>
      </c>
      <c r="E469" s="10" t="s">
        <v>875</v>
      </c>
      <c r="F469" s="10">
        <v>36.762185049999999</v>
      </c>
      <c r="G469" s="10">
        <v>42.064760419999999</v>
      </c>
      <c r="H469" s="11">
        <v>345</v>
      </c>
      <c r="I469" s="11">
        <v>2070</v>
      </c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>
        <v>345</v>
      </c>
      <c r="W469" s="11"/>
      <c r="X469" s="11"/>
      <c r="Y469" s="11"/>
      <c r="Z469" s="11"/>
      <c r="AA469" s="11"/>
      <c r="AB469" s="11"/>
      <c r="AC469" s="11">
        <v>345</v>
      </c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>
        <v>345</v>
      </c>
      <c r="AP469" s="11"/>
      <c r="AQ469" s="11"/>
      <c r="AR469" s="11"/>
      <c r="AS469" s="11"/>
      <c r="AT469" s="20" t="str">
        <f>HYPERLINK("http://www.openstreetmap.org/?mlat=36.7622&amp;mlon=42.0648&amp;zoom=12#map=12/36.7622/42.0648","Maplink1")</f>
        <v>Maplink1</v>
      </c>
      <c r="AU469" s="20" t="str">
        <f>HYPERLINK("https://www.google.iq/maps/search/+36.7622,42.0648/@36.7622,42.0648,14z?hl=en","Maplink2")</f>
        <v>Maplink2</v>
      </c>
      <c r="AV469" s="20" t="str">
        <f>HYPERLINK("http://www.bing.com/maps/?lvl=14&amp;sty=h&amp;cp=36.7622~42.0648&amp;sp=point.36.7622_42.0648","Maplink3")</f>
        <v>Maplink3</v>
      </c>
    </row>
    <row r="470" spans="1:48" x14ac:dyDescent="0.25">
      <c r="A470" s="9">
        <v>27352</v>
      </c>
      <c r="B470" s="10" t="s">
        <v>20</v>
      </c>
      <c r="C470" s="10" t="s">
        <v>802</v>
      </c>
      <c r="D470" s="10" t="s">
        <v>876</v>
      </c>
      <c r="E470" s="10" t="s">
        <v>877</v>
      </c>
      <c r="F470" s="10">
        <v>36.93673707</v>
      </c>
      <c r="G470" s="10">
        <v>42.355929269999997</v>
      </c>
      <c r="H470" s="11">
        <v>100</v>
      </c>
      <c r="I470" s="11">
        <v>600</v>
      </c>
      <c r="J470" s="11"/>
      <c r="K470" s="11"/>
      <c r="L470" s="11"/>
      <c r="M470" s="11"/>
      <c r="N470" s="11">
        <v>100</v>
      </c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>
        <v>100</v>
      </c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>
        <v>100</v>
      </c>
      <c r="AP470" s="11"/>
      <c r="AQ470" s="11"/>
      <c r="AR470" s="11"/>
      <c r="AS470" s="11"/>
      <c r="AT470" s="20" t="str">
        <f>HYPERLINK("http://www.openstreetmap.org/?mlat=36.9367&amp;mlon=42.3559&amp;zoom=12#map=12/36.9367/42.3559","Maplink1")</f>
        <v>Maplink1</v>
      </c>
      <c r="AU470" s="20" t="str">
        <f>HYPERLINK("https://www.google.iq/maps/search/+36.9367,42.3559/@36.9367,42.3559,14z?hl=en","Maplink2")</f>
        <v>Maplink2</v>
      </c>
      <c r="AV470" s="20" t="str">
        <f>HYPERLINK("http://www.bing.com/maps/?lvl=14&amp;sty=h&amp;cp=36.9367~42.3559&amp;sp=point.36.9367_42.3559","Maplink3")</f>
        <v>Maplink3</v>
      </c>
    </row>
    <row r="471" spans="1:48" x14ac:dyDescent="0.25">
      <c r="A471" s="9">
        <v>22799</v>
      </c>
      <c r="B471" s="10" t="s">
        <v>20</v>
      </c>
      <c r="C471" s="10" t="s">
        <v>802</v>
      </c>
      <c r="D471" s="10" t="s">
        <v>878</v>
      </c>
      <c r="E471" s="10" t="s">
        <v>879</v>
      </c>
      <c r="F471" s="10">
        <v>36.593777789999997</v>
      </c>
      <c r="G471" s="10">
        <v>42.525742289999997</v>
      </c>
      <c r="H471" s="11">
        <v>200</v>
      </c>
      <c r="I471" s="11">
        <v>1200</v>
      </c>
      <c r="J471" s="11"/>
      <c r="K471" s="11"/>
      <c r="L471" s="11"/>
      <c r="M471" s="11"/>
      <c r="N471" s="11">
        <v>200</v>
      </c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>
        <v>200</v>
      </c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>
        <v>200</v>
      </c>
      <c r="AP471" s="11"/>
      <c r="AQ471" s="11"/>
      <c r="AR471" s="11"/>
      <c r="AS471" s="11"/>
      <c r="AT471" s="20" t="str">
        <f>HYPERLINK("http://www.openstreetmap.org/?mlat=36.5938&amp;mlon=42.5257&amp;zoom=12#map=12/36.5938/42.5257","Maplink1")</f>
        <v>Maplink1</v>
      </c>
      <c r="AU471" s="20" t="str">
        <f>HYPERLINK("https://www.google.iq/maps/search/+36.5938,42.5257/@36.5938,42.5257,14z?hl=en","Maplink2")</f>
        <v>Maplink2</v>
      </c>
      <c r="AV471" s="20" t="str">
        <f>HYPERLINK("http://www.bing.com/maps/?lvl=14&amp;sty=h&amp;cp=36.5938~42.5257&amp;sp=point.36.5938_42.5257","Maplink3")</f>
        <v>Maplink3</v>
      </c>
    </row>
    <row r="472" spans="1:48" x14ac:dyDescent="0.25">
      <c r="A472" s="9">
        <v>25704</v>
      </c>
      <c r="B472" s="10" t="s">
        <v>20</v>
      </c>
      <c r="C472" s="10" t="s">
        <v>802</v>
      </c>
      <c r="D472" s="10" t="s">
        <v>880</v>
      </c>
      <c r="E472" s="10" t="s">
        <v>881</v>
      </c>
      <c r="F472" s="10">
        <v>36.609332790000003</v>
      </c>
      <c r="G472" s="10">
        <v>42.537091240000002</v>
      </c>
      <c r="H472" s="11">
        <v>187</v>
      </c>
      <c r="I472" s="11">
        <v>1122</v>
      </c>
      <c r="J472" s="11"/>
      <c r="K472" s="11"/>
      <c r="L472" s="11"/>
      <c r="M472" s="11"/>
      <c r="N472" s="11">
        <v>187</v>
      </c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>
        <v>170</v>
      </c>
      <c r="AD472" s="11">
        <v>17</v>
      </c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>
        <v>187</v>
      </c>
      <c r="AP472" s="11"/>
      <c r="AQ472" s="11"/>
      <c r="AR472" s="11"/>
      <c r="AS472" s="11"/>
      <c r="AT472" s="20" t="str">
        <f>HYPERLINK("http://www.openstreetmap.org/?mlat=36.6093&amp;mlon=42.5371&amp;zoom=12#map=12/36.6093/42.5371","Maplink1")</f>
        <v>Maplink1</v>
      </c>
      <c r="AU472" s="20" t="str">
        <f>HYPERLINK("https://www.google.iq/maps/search/+36.6093,42.5371/@36.6093,42.5371,14z?hl=en","Maplink2")</f>
        <v>Maplink2</v>
      </c>
      <c r="AV472" s="20" t="str">
        <f>HYPERLINK("http://www.bing.com/maps/?lvl=14&amp;sty=h&amp;cp=36.6093~42.5371&amp;sp=point.36.6093_42.5371","Maplink3")</f>
        <v>Maplink3</v>
      </c>
    </row>
    <row r="473" spans="1:48" x14ac:dyDescent="0.25">
      <c r="A473" s="9">
        <v>25944</v>
      </c>
      <c r="B473" s="10" t="s">
        <v>20</v>
      </c>
      <c r="C473" s="10" t="s">
        <v>802</v>
      </c>
      <c r="D473" s="10" t="s">
        <v>882</v>
      </c>
      <c r="E473" s="10" t="s">
        <v>883</v>
      </c>
      <c r="F473" s="10">
        <v>36.653372740000002</v>
      </c>
      <c r="G473" s="10">
        <v>42.596476299999999</v>
      </c>
      <c r="H473" s="11">
        <v>1000</v>
      </c>
      <c r="I473" s="11">
        <v>6000</v>
      </c>
      <c r="J473" s="11"/>
      <c r="K473" s="11"/>
      <c r="L473" s="11"/>
      <c r="M473" s="11"/>
      <c r="N473" s="11">
        <v>950</v>
      </c>
      <c r="O473" s="11"/>
      <c r="P473" s="11"/>
      <c r="Q473" s="11"/>
      <c r="R473" s="11"/>
      <c r="S473" s="11"/>
      <c r="T473" s="11"/>
      <c r="U473" s="11"/>
      <c r="V473" s="11">
        <v>50</v>
      </c>
      <c r="W473" s="11"/>
      <c r="X473" s="11"/>
      <c r="Y473" s="11"/>
      <c r="Z473" s="11"/>
      <c r="AA473" s="11"/>
      <c r="AB473" s="11"/>
      <c r="AC473" s="11">
        <v>550</v>
      </c>
      <c r="AD473" s="11">
        <v>350</v>
      </c>
      <c r="AE473" s="11"/>
      <c r="AF473" s="11"/>
      <c r="AG473" s="11"/>
      <c r="AH473" s="11"/>
      <c r="AI473" s="11">
        <v>50</v>
      </c>
      <c r="AJ473" s="11"/>
      <c r="AK473" s="11">
        <v>50</v>
      </c>
      <c r="AL473" s="11"/>
      <c r="AM473" s="11"/>
      <c r="AN473" s="11"/>
      <c r="AO473" s="11">
        <v>1000</v>
      </c>
      <c r="AP473" s="11"/>
      <c r="AQ473" s="11"/>
      <c r="AR473" s="11"/>
      <c r="AS473" s="11"/>
      <c r="AT473" s="20" t="str">
        <f>HYPERLINK("http://www.openstreetmap.org/?mlat=36.6534&amp;mlon=42.5965&amp;zoom=12#map=12/36.6534/42.5965","Maplink1")</f>
        <v>Maplink1</v>
      </c>
      <c r="AU473" s="20" t="str">
        <f>HYPERLINK("https://www.google.iq/maps/search/+36.6534,42.5965/@36.6534,42.5965,14z?hl=en","Maplink2")</f>
        <v>Maplink2</v>
      </c>
      <c r="AV473" s="20" t="str">
        <f>HYPERLINK("http://www.bing.com/maps/?lvl=14&amp;sty=h&amp;cp=36.6534~42.5965&amp;sp=point.36.6534_42.5965","Maplink3")</f>
        <v>Maplink3</v>
      </c>
    </row>
    <row r="474" spans="1:48" x14ac:dyDescent="0.25">
      <c r="A474" s="9">
        <v>17617</v>
      </c>
      <c r="B474" s="10" t="s">
        <v>20</v>
      </c>
      <c r="C474" s="10" t="s">
        <v>802</v>
      </c>
      <c r="D474" s="10" t="s">
        <v>884</v>
      </c>
      <c r="E474" s="10" t="s">
        <v>885</v>
      </c>
      <c r="F474" s="10">
        <v>36.553422820000002</v>
      </c>
      <c r="G474" s="10">
        <v>42.512018419999997</v>
      </c>
      <c r="H474" s="11">
        <v>655</v>
      </c>
      <c r="I474" s="11">
        <v>3930</v>
      </c>
      <c r="J474" s="11"/>
      <c r="K474" s="11"/>
      <c r="L474" s="11"/>
      <c r="M474" s="11"/>
      <c r="N474" s="11">
        <v>655</v>
      </c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>
        <v>655</v>
      </c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>
        <v>655</v>
      </c>
      <c r="AP474" s="11"/>
      <c r="AQ474" s="11"/>
      <c r="AR474" s="11"/>
      <c r="AS474" s="11"/>
      <c r="AT474" s="20" t="str">
        <f>HYPERLINK("http://www.openstreetmap.org/?mlat=36.5534&amp;mlon=42.512&amp;zoom=12#map=12/36.5534/42.512","Maplink1")</f>
        <v>Maplink1</v>
      </c>
      <c r="AU474" s="20" t="str">
        <f>HYPERLINK("https://www.google.iq/maps/search/+36.5534,42.512/@36.5534,42.512,14z?hl=en","Maplink2")</f>
        <v>Maplink2</v>
      </c>
      <c r="AV474" s="20" t="str">
        <f>HYPERLINK("http://www.bing.com/maps/?lvl=14&amp;sty=h&amp;cp=36.5534~42.512&amp;sp=point.36.5534_42.512","Maplink3")</f>
        <v>Maplink3</v>
      </c>
    </row>
    <row r="475" spans="1:48" x14ac:dyDescent="0.25">
      <c r="A475" s="9">
        <v>25689</v>
      </c>
      <c r="B475" s="10" t="s">
        <v>20</v>
      </c>
      <c r="C475" s="10" t="s">
        <v>802</v>
      </c>
      <c r="D475" s="10" t="s">
        <v>886</v>
      </c>
      <c r="E475" s="10" t="s">
        <v>887</v>
      </c>
      <c r="F475" s="10">
        <v>36.578457929999999</v>
      </c>
      <c r="G475" s="10">
        <v>42.644869739999997</v>
      </c>
      <c r="H475" s="11">
        <v>50</v>
      </c>
      <c r="I475" s="11">
        <v>300</v>
      </c>
      <c r="J475" s="11"/>
      <c r="K475" s="11"/>
      <c r="L475" s="11"/>
      <c r="M475" s="11"/>
      <c r="N475" s="11">
        <v>42</v>
      </c>
      <c r="O475" s="11"/>
      <c r="P475" s="11"/>
      <c r="Q475" s="11"/>
      <c r="R475" s="11"/>
      <c r="S475" s="11"/>
      <c r="T475" s="11"/>
      <c r="U475" s="11"/>
      <c r="V475" s="11">
        <v>8</v>
      </c>
      <c r="W475" s="11"/>
      <c r="X475" s="11"/>
      <c r="Y475" s="11"/>
      <c r="Z475" s="11"/>
      <c r="AA475" s="11"/>
      <c r="AB475" s="11"/>
      <c r="AC475" s="11">
        <v>50</v>
      </c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>
        <v>50</v>
      </c>
      <c r="AP475" s="11"/>
      <c r="AQ475" s="11"/>
      <c r="AR475" s="11"/>
      <c r="AS475" s="11"/>
      <c r="AT475" s="20" t="str">
        <f>HYPERLINK("http://www.openstreetmap.org/?mlat=36.5785&amp;mlon=42.6449&amp;zoom=12#map=12/36.5785/42.6449","Maplink1")</f>
        <v>Maplink1</v>
      </c>
      <c r="AU475" s="20" t="str">
        <f>HYPERLINK("https://www.google.iq/maps/search/+36.5785,42.6449/@36.5785,42.6449,14z?hl=en","Maplink2")</f>
        <v>Maplink2</v>
      </c>
      <c r="AV475" s="20" t="str">
        <f>HYPERLINK("http://www.bing.com/maps/?lvl=14&amp;sty=h&amp;cp=36.5785~42.6449&amp;sp=point.36.5785_42.6449","Maplink3")</f>
        <v>Maplink3</v>
      </c>
    </row>
    <row r="476" spans="1:48" x14ac:dyDescent="0.25">
      <c r="A476" s="9">
        <v>23648</v>
      </c>
      <c r="B476" s="10" t="s">
        <v>20</v>
      </c>
      <c r="C476" s="10" t="s">
        <v>802</v>
      </c>
      <c r="D476" s="10" t="s">
        <v>888</v>
      </c>
      <c r="E476" s="10" t="s">
        <v>889</v>
      </c>
      <c r="F476" s="10">
        <v>37.013250499999998</v>
      </c>
      <c r="G476" s="10">
        <v>42.34194814</v>
      </c>
      <c r="H476" s="11">
        <v>200</v>
      </c>
      <c r="I476" s="11">
        <v>1200</v>
      </c>
      <c r="J476" s="11"/>
      <c r="K476" s="11"/>
      <c r="L476" s="11"/>
      <c r="M476" s="11"/>
      <c r="N476" s="11">
        <v>200</v>
      </c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>
        <v>200</v>
      </c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>
        <v>200</v>
      </c>
      <c r="AP476" s="11"/>
      <c r="AQ476" s="11"/>
      <c r="AR476" s="11"/>
      <c r="AS476" s="11"/>
      <c r="AT476" s="20" t="str">
        <f>HYPERLINK("http://www.openstreetmap.org/?mlat=37.0133&amp;mlon=42.3419&amp;zoom=12#map=12/37.0133/42.3419","Maplink1")</f>
        <v>Maplink1</v>
      </c>
      <c r="AU476" s="20" t="str">
        <f>HYPERLINK("https://www.google.iq/maps/search/+37.0133,42.3419/@37.0133,42.3419,14z?hl=en","Maplink2")</f>
        <v>Maplink2</v>
      </c>
      <c r="AV476" s="20" t="str">
        <f>HYPERLINK("http://www.bing.com/maps/?lvl=14&amp;sty=h&amp;cp=37.0133~42.3419&amp;sp=point.37.0133_42.3419","Maplink3")</f>
        <v>Maplink3</v>
      </c>
    </row>
    <row r="477" spans="1:48" x14ac:dyDescent="0.25">
      <c r="A477" s="9">
        <v>28452</v>
      </c>
      <c r="B477" s="10" t="s">
        <v>20</v>
      </c>
      <c r="C477" s="10" t="s">
        <v>802</v>
      </c>
      <c r="D477" s="10" t="s">
        <v>890</v>
      </c>
      <c r="E477" s="10" t="s">
        <v>891</v>
      </c>
      <c r="F477" s="10">
        <v>36.742294729999998</v>
      </c>
      <c r="G477" s="10">
        <v>42.084245680000002</v>
      </c>
      <c r="H477" s="11">
        <v>31</v>
      </c>
      <c r="I477" s="11">
        <v>186</v>
      </c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>
        <v>31</v>
      </c>
      <c r="W477" s="11"/>
      <c r="X477" s="11"/>
      <c r="Y477" s="11"/>
      <c r="Z477" s="11"/>
      <c r="AA477" s="11"/>
      <c r="AB477" s="11"/>
      <c r="AC477" s="11">
        <v>31</v>
      </c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>
        <v>31</v>
      </c>
      <c r="AP477" s="11"/>
      <c r="AQ477" s="11"/>
      <c r="AR477" s="11"/>
      <c r="AS477" s="11"/>
      <c r="AT477" s="20" t="str">
        <f>HYPERLINK("http://www.openstreetmap.org/?mlat=36.7423&amp;mlon=42.0842&amp;zoom=12#map=12/36.7423/42.0842","Maplink1")</f>
        <v>Maplink1</v>
      </c>
      <c r="AU477" s="20" t="str">
        <f>HYPERLINK("https://www.google.iq/maps/search/+36.7423,42.0842/@36.7423,42.0842,14z?hl=en","Maplink2")</f>
        <v>Maplink2</v>
      </c>
      <c r="AV477" s="20" t="str">
        <f>HYPERLINK("http://www.bing.com/maps/?lvl=14&amp;sty=h&amp;cp=36.7423~42.0842&amp;sp=point.36.7423_42.0842","Maplink3")</f>
        <v>Maplink3</v>
      </c>
    </row>
    <row r="478" spans="1:48" s="19" customFormat="1" x14ac:dyDescent="0.25">
      <c r="A478" s="9">
        <v>17814</v>
      </c>
      <c r="B478" s="10" t="s">
        <v>20</v>
      </c>
      <c r="C478" s="10" t="s">
        <v>802</v>
      </c>
      <c r="D478" s="10" t="s">
        <v>892</v>
      </c>
      <c r="E478" s="10" t="s">
        <v>1170</v>
      </c>
      <c r="F478" s="10">
        <v>36.748451090000003</v>
      </c>
      <c r="G478" s="10">
        <v>42.304420919999998</v>
      </c>
      <c r="H478" s="11">
        <v>448</v>
      </c>
      <c r="I478" s="11">
        <v>2688</v>
      </c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>
        <v>448</v>
      </c>
      <c r="W478" s="11"/>
      <c r="X478" s="11"/>
      <c r="Y478" s="11"/>
      <c r="Z478" s="11"/>
      <c r="AA478" s="11"/>
      <c r="AB478" s="11"/>
      <c r="AC478" s="11">
        <v>448</v>
      </c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>
        <v>448</v>
      </c>
      <c r="AP478" s="11"/>
      <c r="AQ478" s="11"/>
      <c r="AR478" s="11"/>
      <c r="AS478" s="11"/>
      <c r="AT478" s="20" t="str">
        <f>HYPERLINK("http://www.openstreetmap.org/?mlat=36.7485&amp;mlon=42.3044&amp;zoom=12#map=12/36.7485/42.3044","Maplink1")</f>
        <v>Maplink1</v>
      </c>
      <c r="AU478" s="20" t="str">
        <f>HYPERLINK("https://www.google.iq/maps/search/+36.7485,42.3044/@36.7485,42.3044,14z?hl=en","Maplink2")</f>
        <v>Maplink2</v>
      </c>
      <c r="AV478" s="20" t="str">
        <f>HYPERLINK("http://www.bing.com/maps/?lvl=14&amp;sty=h&amp;cp=36.7485~42.3044&amp;sp=point.36.7485_42.3044","Maplink3")</f>
        <v>Maplink3</v>
      </c>
    </row>
    <row r="479" spans="1:48" s="19" customFormat="1" x14ac:dyDescent="0.25">
      <c r="A479" s="9">
        <v>28438</v>
      </c>
      <c r="B479" s="10" t="s">
        <v>20</v>
      </c>
      <c r="C479" s="10" t="s">
        <v>802</v>
      </c>
      <c r="D479" s="10" t="s">
        <v>893</v>
      </c>
      <c r="E479" s="10" t="s">
        <v>894</v>
      </c>
      <c r="F479" s="10">
        <v>36.796917129999997</v>
      </c>
      <c r="G479" s="10">
        <v>42.180510499999997</v>
      </c>
      <c r="H479" s="11">
        <v>280</v>
      </c>
      <c r="I479" s="11">
        <v>1680</v>
      </c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>
        <v>280</v>
      </c>
      <c r="W479" s="11"/>
      <c r="X479" s="11"/>
      <c r="Y479" s="11"/>
      <c r="Z479" s="11"/>
      <c r="AA479" s="11"/>
      <c r="AB479" s="11"/>
      <c r="AC479" s="11">
        <v>280</v>
      </c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>
        <v>280</v>
      </c>
      <c r="AP479" s="11"/>
      <c r="AQ479" s="11"/>
      <c r="AR479" s="11"/>
      <c r="AS479" s="11"/>
      <c r="AT479" s="20" t="str">
        <f>HYPERLINK("http://www.openstreetmap.org/?mlat=36.7969&amp;mlon=42.1805&amp;zoom=12#map=12/36.7969/42.1805","Maplink1")</f>
        <v>Maplink1</v>
      </c>
      <c r="AU479" s="20" t="str">
        <f>HYPERLINK("https://www.google.iq/maps/search/+36.7969,42.1805/@36.7969,42.1805,14z?hl=en","Maplink2")</f>
        <v>Maplink2</v>
      </c>
      <c r="AV479" s="20" t="str">
        <f>HYPERLINK("http://www.bing.com/maps/?lvl=14&amp;sty=h&amp;cp=36.7969~42.1805&amp;sp=point.36.7969_42.1805","Maplink3")</f>
        <v>Maplink3</v>
      </c>
    </row>
    <row r="480" spans="1:48" s="19" customFormat="1" x14ac:dyDescent="0.25">
      <c r="A480" s="9">
        <v>17614</v>
      </c>
      <c r="B480" s="10" t="s">
        <v>20</v>
      </c>
      <c r="C480" s="10" t="s">
        <v>802</v>
      </c>
      <c r="D480" s="10" t="s">
        <v>895</v>
      </c>
      <c r="E480" s="10" t="s">
        <v>1171</v>
      </c>
      <c r="F480" s="10">
        <v>36.751361260000003</v>
      </c>
      <c r="G480" s="10">
        <v>42.172686140000003</v>
      </c>
      <c r="H480" s="11">
        <v>409</v>
      </c>
      <c r="I480" s="11">
        <v>2454</v>
      </c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>
        <v>409</v>
      </c>
      <c r="W480" s="11"/>
      <c r="X480" s="11"/>
      <c r="Y480" s="11"/>
      <c r="Z480" s="11"/>
      <c r="AA480" s="11"/>
      <c r="AB480" s="11"/>
      <c r="AC480" s="11">
        <v>409</v>
      </c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>
        <v>409</v>
      </c>
      <c r="AP480" s="11"/>
      <c r="AQ480" s="11"/>
      <c r="AR480" s="11"/>
      <c r="AS480" s="11"/>
      <c r="AT480" s="20" t="str">
        <f>HYPERLINK("http://www.openstreetmap.org/?mlat=36.7514&amp;mlon=42.1727&amp;zoom=12#map=12/36.7514/42.1727","Maplink1")</f>
        <v>Maplink1</v>
      </c>
      <c r="AU480" s="20" t="str">
        <f>HYPERLINK("https://www.google.iq/maps/search/+36.7514,42.1727/@36.7514,42.1727,14z?hl=en","Maplink2")</f>
        <v>Maplink2</v>
      </c>
      <c r="AV480" s="20" t="str">
        <f>HYPERLINK("http://www.bing.com/maps/?lvl=14&amp;sty=h&amp;cp=36.7514~42.1727&amp;sp=point.36.7514_42.1727","Maplink3")</f>
        <v>Maplink3</v>
      </c>
    </row>
    <row r="481" spans="1:48" s="19" customFormat="1" x14ac:dyDescent="0.25">
      <c r="A481" s="9">
        <v>17944</v>
      </c>
      <c r="B481" s="10" t="s">
        <v>20</v>
      </c>
      <c r="C481" s="10" t="s">
        <v>802</v>
      </c>
      <c r="D481" s="10" t="s">
        <v>896</v>
      </c>
      <c r="E481" s="10" t="s">
        <v>897</v>
      </c>
      <c r="F481" s="10">
        <v>36.631470270000001</v>
      </c>
      <c r="G481" s="10">
        <v>42.598216100000002</v>
      </c>
      <c r="H481" s="11">
        <v>753</v>
      </c>
      <c r="I481" s="11">
        <v>4518</v>
      </c>
      <c r="J481" s="11"/>
      <c r="K481" s="11"/>
      <c r="L481" s="11"/>
      <c r="M481" s="11"/>
      <c r="N481" s="11">
        <v>603</v>
      </c>
      <c r="O481" s="11"/>
      <c r="P481" s="11"/>
      <c r="Q481" s="11"/>
      <c r="R481" s="11"/>
      <c r="S481" s="11"/>
      <c r="T481" s="11"/>
      <c r="U481" s="11"/>
      <c r="V481" s="11">
        <v>150</v>
      </c>
      <c r="W481" s="11"/>
      <c r="X481" s="11"/>
      <c r="Y481" s="11"/>
      <c r="Z481" s="11"/>
      <c r="AA481" s="11"/>
      <c r="AB481" s="11"/>
      <c r="AC481" s="11">
        <v>753</v>
      </c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>
        <v>753</v>
      </c>
      <c r="AP481" s="11"/>
      <c r="AQ481" s="11"/>
      <c r="AR481" s="11"/>
      <c r="AS481" s="11"/>
      <c r="AT481" s="20" t="str">
        <f>HYPERLINK("http://www.openstreetmap.org/?mlat=36.6315&amp;mlon=42.5982&amp;zoom=12#map=12/36.6315/42.5982","Maplink1")</f>
        <v>Maplink1</v>
      </c>
      <c r="AU481" s="20" t="str">
        <f>HYPERLINK("https://www.google.iq/maps/search/+36.6315,42.5982/@36.6315,42.5982,14z?hl=en","Maplink2")</f>
        <v>Maplink2</v>
      </c>
      <c r="AV481" s="20" t="str">
        <f>HYPERLINK("http://www.bing.com/maps/?lvl=14&amp;sty=h&amp;cp=36.6315~42.5982&amp;sp=point.36.6315_42.5982","Maplink3")</f>
        <v>Maplink3</v>
      </c>
    </row>
    <row r="482" spans="1:48" s="19" customFormat="1" x14ac:dyDescent="0.25">
      <c r="A482" s="9">
        <v>28439</v>
      </c>
      <c r="B482" s="10" t="s">
        <v>20</v>
      </c>
      <c r="C482" s="10" t="s">
        <v>802</v>
      </c>
      <c r="D482" s="10" t="s">
        <v>898</v>
      </c>
      <c r="E482" s="10" t="s">
        <v>899</v>
      </c>
      <c r="F482" s="10">
        <v>36.746354500000002</v>
      </c>
      <c r="G482" s="10">
        <v>42.199465330000002</v>
      </c>
      <c r="H482" s="11">
        <v>107</v>
      </c>
      <c r="I482" s="11">
        <v>642</v>
      </c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>
        <v>107</v>
      </c>
      <c r="W482" s="11"/>
      <c r="X482" s="11"/>
      <c r="Y482" s="11"/>
      <c r="Z482" s="11"/>
      <c r="AA482" s="11"/>
      <c r="AB482" s="11"/>
      <c r="AC482" s="11">
        <v>107</v>
      </c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>
        <v>107</v>
      </c>
      <c r="AP482" s="11"/>
      <c r="AQ482" s="11"/>
      <c r="AR482" s="11"/>
      <c r="AS482" s="11"/>
      <c r="AT482" s="20" t="str">
        <f>HYPERLINK("http://www.openstreetmap.org/?mlat=36.7464&amp;mlon=42.1995&amp;zoom=12#map=12/36.7464/42.1995","Maplink1")</f>
        <v>Maplink1</v>
      </c>
      <c r="AU482" s="20" t="str">
        <f>HYPERLINK("https://www.google.iq/maps/search/+36.7464,42.1995/@36.7464,42.1995,14z?hl=en","Maplink2")</f>
        <v>Maplink2</v>
      </c>
      <c r="AV482" s="20" t="str">
        <f>HYPERLINK("http://www.bing.com/maps/?lvl=14&amp;sty=h&amp;cp=36.7464~42.1995&amp;sp=point.36.7464_42.1995","Maplink3")</f>
        <v>Maplink3</v>
      </c>
    </row>
    <row r="483" spans="1:48" s="19" customFormat="1" x14ac:dyDescent="0.25">
      <c r="A483" s="9">
        <v>28444</v>
      </c>
      <c r="B483" s="10" t="s">
        <v>20</v>
      </c>
      <c r="C483" s="10" t="s">
        <v>802</v>
      </c>
      <c r="D483" s="10" t="s">
        <v>900</v>
      </c>
      <c r="E483" s="10" t="s">
        <v>901</v>
      </c>
      <c r="F483" s="10">
        <v>36.716690829999997</v>
      </c>
      <c r="G483" s="10">
        <v>42.352300190000001</v>
      </c>
      <c r="H483" s="11">
        <v>125</v>
      </c>
      <c r="I483" s="11">
        <v>750</v>
      </c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>
        <v>125</v>
      </c>
      <c r="W483" s="11"/>
      <c r="X483" s="11"/>
      <c r="Y483" s="11"/>
      <c r="Z483" s="11"/>
      <c r="AA483" s="11"/>
      <c r="AB483" s="11"/>
      <c r="AC483" s="11">
        <v>125</v>
      </c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>
        <v>125</v>
      </c>
      <c r="AP483" s="11"/>
      <c r="AQ483" s="11"/>
      <c r="AR483" s="11"/>
      <c r="AS483" s="11"/>
      <c r="AT483" s="20" t="str">
        <f>HYPERLINK("http://www.openstreetmap.org/?mlat=36.7167&amp;mlon=42.3523&amp;zoom=12#map=12/36.7167/42.3523","Maplink1")</f>
        <v>Maplink1</v>
      </c>
      <c r="AU483" s="20" t="str">
        <f>HYPERLINK("https://www.google.iq/maps/search/+36.7167,42.3523/@36.7167,42.3523,14z?hl=en","Maplink2")</f>
        <v>Maplink2</v>
      </c>
      <c r="AV483" s="20" t="str">
        <f>HYPERLINK("http://www.bing.com/maps/?lvl=14&amp;sty=h&amp;cp=36.7167~42.3523&amp;sp=point.36.7167_42.3523","Maplink3")</f>
        <v>Maplink3</v>
      </c>
    </row>
    <row r="484" spans="1:48" s="19" customFormat="1" x14ac:dyDescent="0.25">
      <c r="A484" s="9">
        <v>27356</v>
      </c>
      <c r="B484" s="10" t="s">
        <v>20</v>
      </c>
      <c r="C484" s="10" t="s">
        <v>802</v>
      </c>
      <c r="D484" s="10" t="s">
        <v>902</v>
      </c>
      <c r="E484" s="10" t="s">
        <v>903</v>
      </c>
      <c r="F484" s="10">
        <v>36.504498359999999</v>
      </c>
      <c r="G484" s="10">
        <v>42.139093000000003</v>
      </c>
      <c r="H484" s="11">
        <v>107</v>
      </c>
      <c r="I484" s="11">
        <v>642</v>
      </c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>
        <v>107</v>
      </c>
      <c r="W484" s="11"/>
      <c r="X484" s="11"/>
      <c r="Y484" s="11"/>
      <c r="Z484" s="11"/>
      <c r="AA484" s="11"/>
      <c r="AB484" s="11"/>
      <c r="AC484" s="11">
        <v>107</v>
      </c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>
        <v>107</v>
      </c>
      <c r="AP484" s="11"/>
      <c r="AQ484" s="11"/>
      <c r="AR484" s="11"/>
      <c r="AS484" s="11"/>
      <c r="AT484" s="20" t="str">
        <f>HYPERLINK("http://www.openstreetmap.org/?mlat=36.5045&amp;mlon=42.1391&amp;zoom=12#map=12/36.5045/42.1391","Maplink1")</f>
        <v>Maplink1</v>
      </c>
      <c r="AU484" s="20" t="str">
        <f>HYPERLINK("https://www.google.iq/maps/search/+36.5045,42.1391/@36.5045,42.1391,14z?hl=en","Maplink2")</f>
        <v>Maplink2</v>
      </c>
      <c r="AV484" s="20" t="str">
        <f>HYPERLINK("http://www.bing.com/maps/?lvl=14&amp;sty=h&amp;cp=36.5045~42.1391&amp;sp=point.36.5045_42.1391","Maplink3")</f>
        <v>Maplink3</v>
      </c>
    </row>
    <row r="485" spans="1:48" s="19" customFormat="1" x14ac:dyDescent="0.25">
      <c r="A485" s="9">
        <v>25705</v>
      </c>
      <c r="B485" s="10" t="s">
        <v>20</v>
      </c>
      <c r="C485" s="10" t="s">
        <v>802</v>
      </c>
      <c r="D485" s="10" t="s">
        <v>904</v>
      </c>
      <c r="E485" s="10" t="s">
        <v>905</v>
      </c>
      <c r="F485" s="10">
        <v>36.576739179999997</v>
      </c>
      <c r="G485" s="10">
        <v>42.605259719999999</v>
      </c>
      <c r="H485" s="11">
        <v>25</v>
      </c>
      <c r="I485" s="11">
        <v>150</v>
      </c>
      <c r="J485" s="11"/>
      <c r="K485" s="11"/>
      <c r="L485" s="11"/>
      <c r="M485" s="11"/>
      <c r="N485" s="11">
        <v>25</v>
      </c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>
        <v>25</v>
      </c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>
        <v>25</v>
      </c>
      <c r="AP485" s="11"/>
      <c r="AQ485" s="11"/>
      <c r="AR485" s="11"/>
      <c r="AS485" s="11"/>
      <c r="AT485" s="20" t="str">
        <f>HYPERLINK("http://www.openstreetmap.org/?mlat=36.5767&amp;mlon=42.6053&amp;zoom=12#map=12/36.5767/42.6053","Maplink1")</f>
        <v>Maplink1</v>
      </c>
      <c r="AU485" s="20" t="str">
        <f>HYPERLINK("https://www.google.iq/maps/search/+36.5767,42.6053/@36.5767,42.6053,14z?hl=en","Maplink2")</f>
        <v>Maplink2</v>
      </c>
      <c r="AV485" s="20" t="str">
        <f>HYPERLINK("http://www.bing.com/maps/?lvl=14&amp;sty=h&amp;cp=36.5767~42.6053&amp;sp=point.36.5767_42.6053","Maplink3")</f>
        <v>Maplink3</v>
      </c>
    </row>
    <row r="486" spans="1:48" s="19" customFormat="1" x14ac:dyDescent="0.25">
      <c r="A486" s="9">
        <v>24600</v>
      </c>
      <c r="B486" s="10" t="s">
        <v>20</v>
      </c>
      <c r="C486" s="10" t="s">
        <v>906</v>
      </c>
      <c r="D486" s="10" t="s">
        <v>1287</v>
      </c>
      <c r="E486" s="10" t="s">
        <v>1288</v>
      </c>
      <c r="F486" s="10">
        <v>36.446542000000001</v>
      </c>
      <c r="G486" s="10">
        <v>43.102502999999999</v>
      </c>
      <c r="H486" s="11">
        <v>130</v>
      </c>
      <c r="I486" s="11">
        <v>780</v>
      </c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>
        <v>130</v>
      </c>
      <c r="W486" s="11"/>
      <c r="X486" s="11"/>
      <c r="Y486" s="11"/>
      <c r="Z486" s="11"/>
      <c r="AA486" s="11"/>
      <c r="AB486" s="11"/>
      <c r="AC486" s="11">
        <v>130</v>
      </c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>
        <v>130</v>
      </c>
      <c r="AT486" s="20" t="str">
        <f>HYPERLINK("http://www.openstreetmap.org/?mlat=36.4465&amp;mlon=43.1025&amp;zoom=12#map=12/36.4465/43.1025","Maplink1")</f>
        <v>Maplink1</v>
      </c>
      <c r="AU486" s="20" t="str">
        <f>HYPERLINK("https://www.google.iq/maps/search/+36.4465,43.1025/@36.4465,43.1025,14z?hl=en","Maplink2")</f>
        <v>Maplink2</v>
      </c>
      <c r="AV486" s="20" t="str">
        <f>HYPERLINK("http://www.bing.com/maps/?lvl=14&amp;sty=h&amp;cp=36.4465~43.1025&amp;sp=point.36.4465_43.1025","Maplink3")</f>
        <v>Maplink3</v>
      </c>
    </row>
    <row r="487" spans="1:48" s="19" customFormat="1" x14ac:dyDescent="0.25">
      <c r="A487" s="9">
        <v>21603</v>
      </c>
      <c r="B487" s="10" t="s">
        <v>20</v>
      </c>
      <c r="C487" s="10" t="s">
        <v>906</v>
      </c>
      <c r="D487" s="10" t="s">
        <v>1289</v>
      </c>
      <c r="E487" s="10" t="s">
        <v>1290</v>
      </c>
      <c r="F487" s="10">
        <v>36.430374999999998</v>
      </c>
      <c r="G487" s="10">
        <v>43.157958999999998</v>
      </c>
      <c r="H487" s="11">
        <v>40</v>
      </c>
      <c r="I487" s="11">
        <v>240</v>
      </c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>
        <v>40</v>
      </c>
      <c r="W487" s="11"/>
      <c r="X487" s="11"/>
      <c r="Y487" s="11"/>
      <c r="Z487" s="11"/>
      <c r="AA487" s="11"/>
      <c r="AB487" s="11"/>
      <c r="AC487" s="11">
        <v>40</v>
      </c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>
        <v>40</v>
      </c>
      <c r="AT487" s="20" t="str">
        <f>HYPERLINK("http://www.openstreetmap.org/?mlat=36.4304&amp;mlon=43.158&amp;zoom=12#map=12/36.4304/43.158","Maplink1")</f>
        <v>Maplink1</v>
      </c>
      <c r="AU487" s="20" t="str">
        <f>HYPERLINK("https://www.google.iq/maps/search/+36.4304,43.158/@36.4304,43.158,14z?hl=en","Maplink2")</f>
        <v>Maplink2</v>
      </c>
      <c r="AV487" s="20" t="str">
        <f>HYPERLINK("http://www.bing.com/maps/?lvl=14&amp;sty=h&amp;cp=36.4304~43.158&amp;sp=point.36.4304_43.158","Maplink3")</f>
        <v>Maplink3</v>
      </c>
    </row>
    <row r="488" spans="1:48" s="19" customFormat="1" x14ac:dyDescent="0.25">
      <c r="A488" s="9">
        <v>17572</v>
      </c>
      <c r="B488" s="10" t="s">
        <v>20</v>
      </c>
      <c r="C488" s="10" t="s">
        <v>906</v>
      </c>
      <c r="D488" s="10" t="s">
        <v>907</v>
      </c>
      <c r="E488" s="10" t="s">
        <v>908</v>
      </c>
      <c r="F488" s="10">
        <v>36.596669609999999</v>
      </c>
      <c r="G488" s="10">
        <v>42.878349960000001</v>
      </c>
      <c r="H488" s="11">
        <v>56</v>
      </c>
      <c r="I488" s="11">
        <v>336</v>
      </c>
      <c r="J488" s="11"/>
      <c r="K488" s="11"/>
      <c r="L488" s="11"/>
      <c r="M488" s="11"/>
      <c r="N488" s="11">
        <v>56</v>
      </c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>
        <v>56</v>
      </c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>
        <v>56</v>
      </c>
      <c r="AP488" s="11"/>
      <c r="AQ488" s="11"/>
      <c r="AR488" s="11"/>
      <c r="AS488" s="11"/>
      <c r="AT488" s="20" t="str">
        <f>HYPERLINK("http://www.openstreetmap.org/?mlat=36.5967&amp;mlon=42.8783&amp;zoom=12#map=12/36.5967/42.8783","Maplink1")</f>
        <v>Maplink1</v>
      </c>
      <c r="AU488" s="20" t="str">
        <f>HYPERLINK("https://www.google.iq/maps/search/+36.5967,42.8783/@36.5967,42.8783,14z?hl=en","Maplink2")</f>
        <v>Maplink2</v>
      </c>
      <c r="AV488" s="20" t="str">
        <f>HYPERLINK("http://www.bing.com/maps/?lvl=14&amp;sty=h&amp;cp=36.5967~42.8783&amp;sp=point.36.5967_42.8783","Maplink3")</f>
        <v>Maplink3</v>
      </c>
    </row>
    <row r="489" spans="1:48" s="19" customFormat="1" x14ac:dyDescent="0.25">
      <c r="A489" s="9">
        <v>17949</v>
      </c>
      <c r="B489" s="10" t="s">
        <v>20</v>
      </c>
      <c r="C489" s="10" t="s">
        <v>906</v>
      </c>
      <c r="D489" s="10" t="s">
        <v>909</v>
      </c>
      <c r="E489" s="10" t="s">
        <v>910</v>
      </c>
      <c r="F489" s="10">
        <v>36.678976759999998</v>
      </c>
      <c r="G489" s="10">
        <v>43.012809500000003</v>
      </c>
      <c r="H489" s="11">
        <v>190</v>
      </c>
      <c r="I489" s="11">
        <v>1140</v>
      </c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>
        <v>190</v>
      </c>
      <c r="W489" s="11"/>
      <c r="X489" s="11"/>
      <c r="Y489" s="11"/>
      <c r="Z489" s="11"/>
      <c r="AA489" s="11"/>
      <c r="AB489" s="11"/>
      <c r="AC489" s="11">
        <v>190</v>
      </c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>
        <v>190</v>
      </c>
      <c r="AP489" s="11"/>
      <c r="AQ489" s="11"/>
      <c r="AR489" s="11"/>
      <c r="AS489" s="11"/>
      <c r="AT489" s="20" t="str">
        <f>HYPERLINK("http://www.openstreetmap.org/?mlat=36.679&amp;mlon=43.0128&amp;zoom=12#map=12/36.679/43.0128","Maplink1")</f>
        <v>Maplink1</v>
      </c>
      <c r="AU489" s="20" t="str">
        <f>HYPERLINK("https://www.google.iq/maps/search/+36.679,43.0128/@36.679,43.0128,14z?hl=en","Maplink2")</f>
        <v>Maplink2</v>
      </c>
      <c r="AV489" s="20" t="str">
        <f>HYPERLINK("http://www.bing.com/maps/?lvl=14&amp;sty=h&amp;cp=36.679~43.0128&amp;sp=point.36.679_43.0128","Maplink3")</f>
        <v>Maplink3</v>
      </c>
    </row>
    <row r="490" spans="1:48" s="19" customFormat="1" x14ac:dyDescent="0.25">
      <c r="A490" s="9">
        <v>18046</v>
      </c>
      <c r="B490" s="10" t="s">
        <v>20</v>
      </c>
      <c r="C490" s="10" t="s">
        <v>906</v>
      </c>
      <c r="D490" s="10" t="s">
        <v>911</v>
      </c>
      <c r="E490" s="10" t="s">
        <v>912</v>
      </c>
      <c r="F490" s="10">
        <v>36.615128550000001</v>
      </c>
      <c r="G490" s="10">
        <v>42.98922177</v>
      </c>
      <c r="H490" s="11">
        <v>266</v>
      </c>
      <c r="I490" s="11">
        <v>1596</v>
      </c>
      <c r="J490" s="11"/>
      <c r="K490" s="11"/>
      <c r="L490" s="11"/>
      <c r="M490" s="11"/>
      <c r="N490" s="11">
        <v>266</v>
      </c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>
        <v>266</v>
      </c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>
        <v>266</v>
      </c>
      <c r="AP490" s="11"/>
      <c r="AQ490" s="11"/>
      <c r="AR490" s="11"/>
      <c r="AS490" s="11"/>
      <c r="AT490" s="20" t="str">
        <f>HYPERLINK("http://www.openstreetmap.org/?mlat=36.6151&amp;mlon=42.9892&amp;zoom=12#map=12/36.6151/42.9892","Maplink1")</f>
        <v>Maplink1</v>
      </c>
      <c r="AU490" s="20" t="str">
        <f>HYPERLINK("https://www.google.iq/maps/search/+36.6151,42.9892/@36.6151,42.9892,14z?hl=en","Maplink2")</f>
        <v>Maplink2</v>
      </c>
      <c r="AV490" s="20" t="str">
        <f>HYPERLINK("http://www.bing.com/maps/?lvl=14&amp;sty=h&amp;cp=36.6151~42.9892&amp;sp=point.36.6151_42.9892","Maplink3")</f>
        <v>Maplink3</v>
      </c>
    </row>
    <row r="491" spans="1:48" s="19" customFormat="1" x14ac:dyDescent="0.25">
      <c r="A491" s="9">
        <v>27350</v>
      </c>
      <c r="B491" s="10" t="s">
        <v>20</v>
      </c>
      <c r="C491" s="10" t="s">
        <v>906</v>
      </c>
      <c r="D491" s="10" t="s">
        <v>913</v>
      </c>
      <c r="E491" s="10" t="s">
        <v>914</v>
      </c>
      <c r="F491" s="10">
        <v>36.613679269999999</v>
      </c>
      <c r="G491" s="10">
        <v>42.837513090000002</v>
      </c>
      <c r="H491" s="11">
        <v>690</v>
      </c>
      <c r="I491" s="11">
        <v>4140</v>
      </c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>
        <v>690</v>
      </c>
      <c r="W491" s="11"/>
      <c r="X491" s="11"/>
      <c r="Y491" s="11"/>
      <c r="Z491" s="11"/>
      <c r="AA491" s="11"/>
      <c r="AB491" s="11"/>
      <c r="AC491" s="11">
        <v>690</v>
      </c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>
        <v>690</v>
      </c>
      <c r="AP491" s="11"/>
      <c r="AQ491" s="11"/>
      <c r="AR491" s="11"/>
      <c r="AS491" s="11"/>
      <c r="AT491" s="20" t="str">
        <f>HYPERLINK("http://www.openstreetmap.org/?mlat=36.6137&amp;mlon=42.8375&amp;zoom=12#map=12/36.6137/42.8375","Maplink1")</f>
        <v>Maplink1</v>
      </c>
      <c r="AU491" s="20" t="str">
        <f>HYPERLINK("https://www.google.iq/maps/search/+36.6137,42.8375/@36.6137,42.8375,14z?hl=en","Maplink2")</f>
        <v>Maplink2</v>
      </c>
      <c r="AV491" s="20" t="str">
        <f>HYPERLINK("http://www.bing.com/maps/?lvl=14&amp;sty=h&amp;cp=36.6137~42.8375&amp;sp=point.36.6137_42.8375","Maplink3")</f>
        <v>Maplink3</v>
      </c>
    </row>
    <row r="492" spans="1:48" s="19" customFormat="1" x14ac:dyDescent="0.25">
      <c r="A492" s="9">
        <v>17931</v>
      </c>
      <c r="B492" s="10" t="s">
        <v>20</v>
      </c>
      <c r="C492" s="10" t="s">
        <v>906</v>
      </c>
      <c r="D492" s="10" t="s">
        <v>915</v>
      </c>
      <c r="E492" s="10" t="s">
        <v>916</v>
      </c>
      <c r="F492" s="10">
        <v>36.61065095</v>
      </c>
      <c r="G492" s="10">
        <v>42.983273070000003</v>
      </c>
      <c r="H492" s="11">
        <v>387</v>
      </c>
      <c r="I492" s="11">
        <v>2322</v>
      </c>
      <c r="J492" s="11"/>
      <c r="K492" s="11"/>
      <c r="L492" s="11"/>
      <c r="M492" s="11"/>
      <c r="N492" s="11">
        <v>287</v>
      </c>
      <c r="O492" s="11"/>
      <c r="P492" s="11"/>
      <c r="Q492" s="11"/>
      <c r="R492" s="11"/>
      <c r="S492" s="11"/>
      <c r="T492" s="11"/>
      <c r="U492" s="11"/>
      <c r="V492" s="11">
        <v>100</v>
      </c>
      <c r="W492" s="11"/>
      <c r="X492" s="11"/>
      <c r="Y492" s="11"/>
      <c r="Z492" s="11"/>
      <c r="AA492" s="11"/>
      <c r="AB492" s="11"/>
      <c r="AC492" s="11">
        <v>387</v>
      </c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>
        <v>387</v>
      </c>
      <c r="AP492" s="11"/>
      <c r="AQ492" s="11"/>
      <c r="AR492" s="11"/>
      <c r="AS492" s="11"/>
      <c r="AT492" s="20" t="str">
        <f>HYPERLINK("http://www.openstreetmap.org/?mlat=36.6107&amp;mlon=42.9833&amp;zoom=12#map=12/36.6107/42.9833","Maplink1")</f>
        <v>Maplink1</v>
      </c>
      <c r="AU492" s="20" t="str">
        <f>HYPERLINK("https://www.google.iq/maps/search/+36.6107,42.9833/@36.6107,42.9833,14z?hl=en","Maplink2")</f>
        <v>Maplink2</v>
      </c>
      <c r="AV492" s="20" t="str">
        <f>HYPERLINK("http://www.bing.com/maps/?lvl=14&amp;sty=h&amp;cp=36.6107~42.9833&amp;sp=point.36.6107_42.9833","Maplink3")</f>
        <v>Maplink3</v>
      </c>
    </row>
    <row r="493" spans="1:48" s="19" customFormat="1" x14ac:dyDescent="0.25">
      <c r="A493" s="9">
        <v>17941</v>
      </c>
      <c r="B493" s="10" t="s">
        <v>20</v>
      </c>
      <c r="C493" s="10" t="s">
        <v>906</v>
      </c>
      <c r="D493" s="10" t="s">
        <v>1291</v>
      </c>
      <c r="E493" s="10" t="s">
        <v>1292</v>
      </c>
      <c r="F493" s="10">
        <v>36.489660000000001</v>
      </c>
      <c r="G493" s="10">
        <v>43.119173000000004</v>
      </c>
      <c r="H493" s="11">
        <v>92</v>
      </c>
      <c r="I493" s="11">
        <v>552</v>
      </c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>
        <v>92</v>
      </c>
      <c r="W493" s="11"/>
      <c r="X493" s="11"/>
      <c r="Y493" s="11"/>
      <c r="Z493" s="11"/>
      <c r="AA493" s="11"/>
      <c r="AB493" s="11"/>
      <c r="AC493" s="11">
        <v>92</v>
      </c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>
        <v>92</v>
      </c>
      <c r="AT493" s="20" t="str">
        <f>HYPERLINK("http://www.openstreetmap.org/?mlat=36.4897&amp;mlon=43.1192&amp;zoom=12#map=12/36.4897/43.1192","Maplink1")</f>
        <v>Maplink1</v>
      </c>
      <c r="AU493" s="20" t="str">
        <f>HYPERLINK("https://www.google.iq/maps/search/+36.4897,43.1192/@36.4897,43.1192,14z?hl=en","Maplink2")</f>
        <v>Maplink2</v>
      </c>
      <c r="AV493" s="20" t="str">
        <f>HYPERLINK("http://www.bing.com/maps/?lvl=14&amp;sty=h&amp;cp=36.4897~43.1192&amp;sp=point.36.4897_43.1192","Maplink3")</f>
        <v>Maplink3</v>
      </c>
    </row>
    <row r="494" spans="1:48" s="19" customFormat="1" x14ac:dyDescent="0.25">
      <c r="A494" s="9">
        <v>17133</v>
      </c>
      <c r="B494" s="10" t="s">
        <v>20</v>
      </c>
      <c r="C494" s="10" t="s">
        <v>906</v>
      </c>
      <c r="D494" s="10" t="s">
        <v>917</v>
      </c>
      <c r="E494" s="10" t="s">
        <v>918</v>
      </c>
      <c r="F494" s="10">
        <v>36.532456740000001</v>
      </c>
      <c r="G494" s="10">
        <v>42.7592298</v>
      </c>
      <c r="H494" s="11">
        <v>1650</v>
      </c>
      <c r="I494" s="11">
        <v>9900</v>
      </c>
      <c r="J494" s="11"/>
      <c r="K494" s="11"/>
      <c r="L494" s="11"/>
      <c r="M494" s="11"/>
      <c r="N494" s="11">
        <v>1650</v>
      </c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>
        <v>1650</v>
      </c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>
        <v>1650</v>
      </c>
      <c r="AP494" s="11"/>
      <c r="AQ494" s="11"/>
      <c r="AR494" s="11"/>
      <c r="AS494" s="11"/>
      <c r="AT494" s="20" t="str">
        <f>HYPERLINK("http://www.openstreetmap.org/?mlat=36.5325&amp;mlon=42.7592&amp;zoom=12#map=12/36.5325/42.7592","Maplink1")</f>
        <v>Maplink1</v>
      </c>
      <c r="AU494" s="20" t="str">
        <f>HYPERLINK("https://www.google.iq/maps/search/+36.5325,42.7592/@36.5325,42.7592,14z?hl=en","Maplink2")</f>
        <v>Maplink2</v>
      </c>
      <c r="AV494" s="20" t="str">
        <f>HYPERLINK("http://www.bing.com/maps/?lvl=14&amp;sty=h&amp;cp=36.5325~42.7592&amp;sp=point.36.5325_42.7592","Maplink3")</f>
        <v>Maplink3</v>
      </c>
    </row>
    <row r="495" spans="1:48" s="19" customFormat="1" x14ac:dyDescent="0.25">
      <c r="A495" s="9">
        <v>26081</v>
      </c>
      <c r="B495" s="10" t="s">
        <v>22</v>
      </c>
      <c r="C495" s="10" t="s">
        <v>919</v>
      </c>
      <c r="D495" s="10" t="s">
        <v>920</v>
      </c>
      <c r="E495" s="10" t="s">
        <v>255</v>
      </c>
      <c r="F495" s="10">
        <v>34.460893390000003</v>
      </c>
      <c r="G495" s="10">
        <v>43.84258054</v>
      </c>
      <c r="H495" s="11">
        <v>157</v>
      </c>
      <c r="I495" s="11">
        <v>942</v>
      </c>
      <c r="J495" s="11"/>
      <c r="K495" s="11"/>
      <c r="L495" s="11"/>
      <c r="M495" s="11"/>
      <c r="N495" s="11"/>
      <c r="O495" s="11"/>
      <c r="P495" s="11">
        <v>46</v>
      </c>
      <c r="Q495" s="11"/>
      <c r="R495" s="11">
        <v>83</v>
      </c>
      <c r="S495" s="11"/>
      <c r="T495" s="11"/>
      <c r="U495" s="11"/>
      <c r="V495" s="11"/>
      <c r="W495" s="11"/>
      <c r="X495" s="11">
        <v>11</v>
      </c>
      <c r="Y495" s="11">
        <v>17</v>
      </c>
      <c r="Z495" s="11"/>
      <c r="AA495" s="11"/>
      <c r="AB495" s="11"/>
      <c r="AC495" s="11">
        <v>134</v>
      </c>
      <c r="AD495" s="11">
        <v>9</v>
      </c>
      <c r="AE495" s="11"/>
      <c r="AF495" s="11"/>
      <c r="AG495" s="11"/>
      <c r="AH495" s="11">
        <v>7</v>
      </c>
      <c r="AI495" s="11">
        <v>7</v>
      </c>
      <c r="AJ495" s="11"/>
      <c r="AK495" s="11"/>
      <c r="AL495" s="11"/>
      <c r="AM495" s="11"/>
      <c r="AN495" s="11">
        <v>98</v>
      </c>
      <c r="AO495" s="11">
        <v>52</v>
      </c>
      <c r="AP495" s="11"/>
      <c r="AQ495" s="11"/>
      <c r="AR495" s="11"/>
      <c r="AS495" s="11">
        <v>7</v>
      </c>
      <c r="AT495" s="20" t="str">
        <f>HYPERLINK("http://www.openstreetmap.org/?mlat=34.4609&amp;mlon=43.8426&amp;zoom=12#map=12/34.4609/43.8426","Maplink1")</f>
        <v>Maplink1</v>
      </c>
      <c r="AU495" s="20" t="str">
        <f>HYPERLINK("https://www.google.iq/maps/search/+34.4609,43.8426/@34.4609,43.8426,14z?hl=en","Maplink2")</f>
        <v>Maplink2</v>
      </c>
      <c r="AV495" s="20" t="str">
        <f>HYPERLINK("http://www.bing.com/maps/?lvl=14&amp;sty=h&amp;cp=34.4609~43.8426&amp;sp=point.34.4609_43.8426","Maplink3")</f>
        <v>Maplink3</v>
      </c>
    </row>
    <row r="496" spans="1:48" s="19" customFormat="1" x14ac:dyDescent="0.25">
      <c r="A496" s="9">
        <v>26116</v>
      </c>
      <c r="B496" s="10" t="s">
        <v>22</v>
      </c>
      <c r="C496" s="10" t="s">
        <v>919</v>
      </c>
      <c r="D496" s="10" t="s">
        <v>921</v>
      </c>
      <c r="E496" s="10" t="s">
        <v>922</v>
      </c>
      <c r="F496" s="10">
        <v>34.407308469999997</v>
      </c>
      <c r="G496" s="10">
        <v>43.79371673</v>
      </c>
      <c r="H496" s="11">
        <v>2485</v>
      </c>
      <c r="I496" s="11">
        <v>14910</v>
      </c>
      <c r="J496" s="11"/>
      <c r="K496" s="11"/>
      <c r="L496" s="11">
        <v>8</v>
      </c>
      <c r="M496" s="11"/>
      <c r="N496" s="11"/>
      <c r="O496" s="11"/>
      <c r="P496" s="11">
        <v>370</v>
      </c>
      <c r="Q496" s="11"/>
      <c r="R496" s="11">
        <v>837</v>
      </c>
      <c r="S496" s="11"/>
      <c r="T496" s="11"/>
      <c r="U496" s="11"/>
      <c r="V496" s="11"/>
      <c r="W496" s="11"/>
      <c r="X496" s="11">
        <v>822</v>
      </c>
      <c r="Y496" s="11">
        <v>448</v>
      </c>
      <c r="Z496" s="11"/>
      <c r="AA496" s="11"/>
      <c r="AB496" s="11"/>
      <c r="AC496" s="11">
        <v>2485</v>
      </c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>
        <v>1825</v>
      </c>
      <c r="AO496" s="11">
        <v>655</v>
      </c>
      <c r="AP496" s="11"/>
      <c r="AQ496" s="11"/>
      <c r="AR496" s="11"/>
      <c r="AS496" s="11">
        <v>5</v>
      </c>
      <c r="AT496" s="20" t="str">
        <f>HYPERLINK("http://www.openstreetmap.org/?mlat=34.4073&amp;mlon=43.7937&amp;zoom=12#map=12/34.4073/43.7937","Maplink1")</f>
        <v>Maplink1</v>
      </c>
      <c r="AU496" s="20" t="str">
        <f>HYPERLINK("https://www.google.iq/maps/search/+34.4073,43.7937/@34.4073,43.7937,14z?hl=en","Maplink2")</f>
        <v>Maplink2</v>
      </c>
      <c r="AV496" s="20" t="str">
        <f>HYPERLINK("http://www.bing.com/maps/?lvl=14&amp;sty=h&amp;cp=34.4073~43.7937&amp;sp=point.34.4073_43.7937","Maplink3")</f>
        <v>Maplink3</v>
      </c>
    </row>
    <row r="497" spans="1:48" s="19" customFormat="1" x14ac:dyDescent="0.25">
      <c r="A497" s="9">
        <v>20746</v>
      </c>
      <c r="B497" s="10" t="s">
        <v>22</v>
      </c>
      <c r="C497" s="10" t="s">
        <v>919</v>
      </c>
      <c r="D497" s="10" t="s">
        <v>923</v>
      </c>
      <c r="E497" s="10" t="s">
        <v>1172</v>
      </c>
      <c r="F497" s="10">
        <v>34.476997580000003</v>
      </c>
      <c r="G497" s="10">
        <v>43.790740649999996</v>
      </c>
      <c r="H497" s="11">
        <v>637</v>
      </c>
      <c r="I497" s="11">
        <v>3822</v>
      </c>
      <c r="J497" s="11"/>
      <c r="K497" s="11"/>
      <c r="L497" s="11"/>
      <c r="M497" s="11"/>
      <c r="N497" s="11"/>
      <c r="O497" s="11"/>
      <c r="P497" s="11">
        <v>95</v>
      </c>
      <c r="Q497" s="11"/>
      <c r="R497" s="11">
        <v>205</v>
      </c>
      <c r="S497" s="11"/>
      <c r="T497" s="11"/>
      <c r="U497" s="11"/>
      <c r="V497" s="11"/>
      <c r="W497" s="11"/>
      <c r="X497" s="11">
        <v>153</v>
      </c>
      <c r="Y497" s="11">
        <v>184</v>
      </c>
      <c r="Z497" s="11"/>
      <c r="AA497" s="11"/>
      <c r="AB497" s="11"/>
      <c r="AC497" s="11">
        <v>634</v>
      </c>
      <c r="AD497" s="11"/>
      <c r="AE497" s="11"/>
      <c r="AF497" s="11"/>
      <c r="AG497" s="11"/>
      <c r="AH497" s="11"/>
      <c r="AI497" s="11">
        <v>3</v>
      </c>
      <c r="AJ497" s="11"/>
      <c r="AK497" s="11"/>
      <c r="AL497" s="11"/>
      <c r="AM497" s="11"/>
      <c r="AN497" s="11">
        <v>596</v>
      </c>
      <c r="AO497" s="11">
        <v>32</v>
      </c>
      <c r="AP497" s="11">
        <v>9</v>
      </c>
      <c r="AQ497" s="11"/>
      <c r="AR497" s="11"/>
      <c r="AS497" s="11"/>
      <c r="AT497" s="20" t="str">
        <f>HYPERLINK("http://www.openstreetmap.org/?mlat=34.477&amp;mlon=43.7907&amp;zoom=12#map=12/34.477/43.7907","Maplink1")</f>
        <v>Maplink1</v>
      </c>
      <c r="AU497" s="20" t="str">
        <f>HYPERLINK("https://www.google.iq/maps/search/+34.477,43.7907/@34.477,43.7907,14z?hl=en","Maplink2")</f>
        <v>Maplink2</v>
      </c>
      <c r="AV497" s="20" t="str">
        <f>HYPERLINK("http://www.bing.com/maps/?lvl=14&amp;sty=h&amp;cp=34.477~43.7907&amp;sp=point.34.477_43.7907","Maplink3")</f>
        <v>Maplink3</v>
      </c>
    </row>
    <row r="498" spans="1:48" s="19" customFormat="1" x14ac:dyDescent="0.25">
      <c r="A498" s="9">
        <v>20587</v>
      </c>
      <c r="B498" s="10" t="s">
        <v>22</v>
      </c>
      <c r="C498" s="10" t="s">
        <v>919</v>
      </c>
      <c r="D498" s="10" t="s">
        <v>924</v>
      </c>
      <c r="E498" s="10" t="s">
        <v>925</v>
      </c>
      <c r="F498" s="10">
        <v>34.455692169999999</v>
      </c>
      <c r="G498" s="10">
        <v>43.797937859999998</v>
      </c>
      <c r="H498" s="11">
        <v>1409</v>
      </c>
      <c r="I498" s="11">
        <v>8454</v>
      </c>
      <c r="J498" s="11"/>
      <c r="K498" s="11"/>
      <c r="L498" s="11">
        <v>3</v>
      </c>
      <c r="M498" s="11"/>
      <c r="N498" s="11"/>
      <c r="O498" s="11"/>
      <c r="P498" s="11">
        <v>82</v>
      </c>
      <c r="Q498" s="11"/>
      <c r="R498" s="11">
        <v>756</v>
      </c>
      <c r="S498" s="11"/>
      <c r="T498" s="11"/>
      <c r="U498" s="11"/>
      <c r="V498" s="11"/>
      <c r="W498" s="11"/>
      <c r="X498" s="11">
        <v>531</v>
      </c>
      <c r="Y498" s="11">
        <v>37</v>
      </c>
      <c r="Z498" s="11"/>
      <c r="AA498" s="11"/>
      <c r="AB498" s="11"/>
      <c r="AC498" s="11">
        <v>1369</v>
      </c>
      <c r="AD498" s="11"/>
      <c r="AE498" s="11"/>
      <c r="AF498" s="11"/>
      <c r="AG498" s="11"/>
      <c r="AH498" s="11"/>
      <c r="AI498" s="11">
        <v>40</v>
      </c>
      <c r="AJ498" s="11"/>
      <c r="AK498" s="11"/>
      <c r="AL498" s="11"/>
      <c r="AM498" s="11">
        <v>990</v>
      </c>
      <c r="AN498" s="11">
        <v>396</v>
      </c>
      <c r="AO498" s="11"/>
      <c r="AP498" s="11"/>
      <c r="AQ498" s="11">
        <v>15</v>
      </c>
      <c r="AR498" s="11"/>
      <c r="AS498" s="11">
        <v>8</v>
      </c>
      <c r="AT498" s="20" t="str">
        <f>HYPERLINK("http://www.openstreetmap.org/?mlat=34.4557&amp;mlon=43.7979&amp;zoom=12#map=12/34.4557/43.7979","Maplink1")</f>
        <v>Maplink1</v>
      </c>
      <c r="AU498" s="20" t="str">
        <f>HYPERLINK("https://www.google.iq/maps/search/+34.4557,43.7979/@34.4557,43.7979,14z?hl=en","Maplink2")</f>
        <v>Maplink2</v>
      </c>
      <c r="AV498" s="20" t="str">
        <f>HYPERLINK("http://www.bing.com/maps/?lvl=14&amp;sty=h&amp;cp=34.4557~43.7979&amp;sp=point.34.4557_43.7979","Maplink3")</f>
        <v>Maplink3</v>
      </c>
    </row>
    <row r="499" spans="1:48" s="19" customFormat="1" x14ac:dyDescent="0.25">
      <c r="A499" s="9">
        <v>26079</v>
      </c>
      <c r="B499" s="10" t="s">
        <v>22</v>
      </c>
      <c r="C499" s="10" t="s">
        <v>919</v>
      </c>
      <c r="D499" s="10" t="s">
        <v>926</v>
      </c>
      <c r="E499" s="10" t="s">
        <v>927</v>
      </c>
      <c r="F499" s="10">
        <v>34.464746890000001</v>
      </c>
      <c r="G499" s="10">
        <v>43.791234510000002</v>
      </c>
      <c r="H499" s="11">
        <v>881</v>
      </c>
      <c r="I499" s="11">
        <v>5286</v>
      </c>
      <c r="J499" s="11"/>
      <c r="K499" s="11"/>
      <c r="L499" s="11">
        <v>4</v>
      </c>
      <c r="M499" s="11"/>
      <c r="N499" s="11"/>
      <c r="O499" s="11"/>
      <c r="P499" s="11">
        <v>119</v>
      </c>
      <c r="Q499" s="11"/>
      <c r="R499" s="11">
        <v>529</v>
      </c>
      <c r="S499" s="11"/>
      <c r="T499" s="11"/>
      <c r="U499" s="11"/>
      <c r="V499" s="11"/>
      <c r="W499" s="11"/>
      <c r="X499" s="11">
        <v>156</v>
      </c>
      <c r="Y499" s="11">
        <v>73</v>
      </c>
      <c r="Z499" s="11"/>
      <c r="AA499" s="11"/>
      <c r="AB499" s="11"/>
      <c r="AC499" s="11">
        <v>881</v>
      </c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>
        <v>857</v>
      </c>
      <c r="AO499" s="11">
        <v>24</v>
      </c>
      <c r="AP499" s="11"/>
      <c r="AQ499" s="11"/>
      <c r="AR499" s="11"/>
      <c r="AS499" s="11"/>
      <c r="AT499" s="20" t="str">
        <f>HYPERLINK("http://www.openstreetmap.org/?mlat=34.4647&amp;mlon=43.7912&amp;zoom=12#map=12/34.4647/43.7912","Maplink1")</f>
        <v>Maplink1</v>
      </c>
      <c r="AU499" s="20" t="str">
        <f>HYPERLINK("https://www.google.iq/maps/search/+34.4647,43.7912/@34.4647,43.7912,14z?hl=en","Maplink2")</f>
        <v>Maplink2</v>
      </c>
      <c r="AV499" s="20" t="str">
        <f>HYPERLINK("http://www.bing.com/maps/?lvl=14&amp;sty=h&amp;cp=34.4647~43.7912&amp;sp=point.34.4647_43.7912","Maplink3")</f>
        <v>Maplink3</v>
      </c>
    </row>
    <row r="500" spans="1:48" s="19" customFormat="1" x14ac:dyDescent="0.25">
      <c r="A500" s="9">
        <v>26078</v>
      </c>
      <c r="B500" s="10" t="s">
        <v>22</v>
      </c>
      <c r="C500" s="10" t="s">
        <v>919</v>
      </c>
      <c r="D500" s="10" t="s">
        <v>928</v>
      </c>
      <c r="E500" s="10" t="s">
        <v>833</v>
      </c>
      <c r="F500" s="10">
        <v>34.462648479999999</v>
      </c>
      <c r="G500" s="10">
        <v>43.795100499999997</v>
      </c>
      <c r="H500" s="11">
        <v>831</v>
      </c>
      <c r="I500" s="11">
        <v>4986</v>
      </c>
      <c r="J500" s="11"/>
      <c r="K500" s="11"/>
      <c r="L500" s="11">
        <v>1</v>
      </c>
      <c r="M500" s="11"/>
      <c r="N500" s="11"/>
      <c r="O500" s="11"/>
      <c r="P500" s="11">
        <v>135</v>
      </c>
      <c r="Q500" s="11"/>
      <c r="R500" s="11">
        <v>471</v>
      </c>
      <c r="S500" s="11"/>
      <c r="T500" s="11"/>
      <c r="U500" s="11"/>
      <c r="V500" s="11"/>
      <c r="W500" s="11"/>
      <c r="X500" s="11">
        <v>100</v>
      </c>
      <c r="Y500" s="11">
        <v>124</v>
      </c>
      <c r="Z500" s="11"/>
      <c r="AA500" s="11"/>
      <c r="AB500" s="11"/>
      <c r="AC500" s="11">
        <v>827</v>
      </c>
      <c r="AD500" s="11"/>
      <c r="AE500" s="11"/>
      <c r="AF500" s="11"/>
      <c r="AG500" s="11"/>
      <c r="AH500" s="11"/>
      <c r="AI500" s="11">
        <v>4</v>
      </c>
      <c r="AJ500" s="11"/>
      <c r="AK500" s="11"/>
      <c r="AL500" s="11"/>
      <c r="AM500" s="11"/>
      <c r="AN500" s="11">
        <v>831</v>
      </c>
      <c r="AO500" s="11"/>
      <c r="AP500" s="11"/>
      <c r="AQ500" s="11"/>
      <c r="AR500" s="11"/>
      <c r="AS500" s="11"/>
      <c r="AT500" s="20" t="str">
        <f>HYPERLINK("http://www.openstreetmap.org/?mlat=34.4626&amp;mlon=43.7951&amp;zoom=12#map=12/34.4626/43.7951","Maplink1")</f>
        <v>Maplink1</v>
      </c>
      <c r="AU500" s="20" t="str">
        <f>HYPERLINK("https://www.google.iq/maps/search/+34.4626,43.7951/@34.4626,43.7951,14z?hl=en","Maplink2")</f>
        <v>Maplink2</v>
      </c>
      <c r="AV500" s="20" t="str">
        <f>HYPERLINK("http://www.bing.com/maps/?lvl=14&amp;sty=h&amp;cp=34.4626~43.7951&amp;sp=point.34.4626_43.7951","Maplink3")</f>
        <v>Maplink3</v>
      </c>
    </row>
    <row r="501" spans="1:48" s="19" customFormat="1" x14ac:dyDescent="0.25">
      <c r="A501" s="9">
        <v>26082</v>
      </c>
      <c r="B501" s="10" t="s">
        <v>22</v>
      </c>
      <c r="C501" s="10" t="s">
        <v>919</v>
      </c>
      <c r="D501" s="10" t="s">
        <v>929</v>
      </c>
      <c r="E501" s="10" t="s">
        <v>930</v>
      </c>
      <c r="F501" s="10">
        <v>34.456560320000001</v>
      </c>
      <c r="G501" s="10">
        <v>43.805647530000002</v>
      </c>
      <c r="H501" s="11">
        <v>350</v>
      </c>
      <c r="I501" s="11">
        <v>2100</v>
      </c>
      <c r="J501" s="11"/>
      <c r="K501" s="11"/>
      <c r="L501" s="11">
        <v>5</v>
      </c>
      <c r="M501" s="11"/>
      <c r="N501" s="11"/>
      <c r="O501" s="11"/>
      <c r="P501" s="11">
        <v>50</v>
      </c>
      <c r="Q501" s="11"/>
      <c r="R501" s="11">
        <v>67</v>
      </c>
      <c r="S501" s="11"/>
      <c r="T501" s="11"/>
      <c r="U501" s="11"/>
      <c r="V501" s="11"/>
      <c r="W501" s="11"/>
      <c r="X501" s="11">
        <v>213</v>
      </c>
      <c r="Y501" s="11">
        <v>15</v>
      </c>
      <c r="Z501" s="11"/>
      <c r="AA501" s="11"/>
      <c r="AB501" s="11"/>
      <c r="AC501" s="11">
        <v>350</v>
      </c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>
        <v>305</v>
      </c>
      <c r="AO501" s="11">
        <v>45</v>
      </c>
      <c r="AP501" s="11"/>
      <c r="AQ501" s="11"/>
      <c r="AR501" s="11"/>
      <c r="AS501" s="11"/>
      <c r="AT501" s="20" t="str">
        <f>HYPERLINK("http://www.openstreetmap.org/?mlat=34.4566&amp;mlon=43.8056&amp;zoom=12#map=12/34.4566/43.8056","Maplink1")</f>
        <v>Maplink1</v>
      </c>
      <c r="AU501" s="20" t="str">
        <f>HYPERLINK("https://www.google.iq/maps/search/+34.4566,43.8056/@34.4566,43.8056,14z?hl=en","Maplink2")</f>
        <v>Maplink2</v>
      </c>
      <c r="AV501" s="20" t="str">
        <f>HYPERLINK("http://www.bing.com/maps/?lvl=14&amp;sty=h&amp;cp=34.4566~43.8056&amp;sp=point.34.4566_43.8056","Maplink3")</f>
        <v>Maplink3</v>
      </c>
    </row>
    <row r="502" spans="1:48" s="19" customFormat="1" x14ac:dyDescent="0.25">
      <c r="A502" s="9">
        <v>20713</v>
      </c>
      <c r="B502" s="10" t="s">
        <v>22</v>
      </c>
      <c r="C502" s="10" t="s">
        <v>919</v>
      </c>
      <c r="D502" s="10" t="s">
        <v>931</v>
      </c>
      <c r="E502" s="10" t="s">
        <v>839</v>
      </c>
      <c r="F502" s="10">
        <v>34.473313150000003</v>
      </c>
      <c r="G502" s="10">
        <v>43.791285729999998</v>
      </c>
      <c r="H502" s="11">
        <v>748</v>
      </c>
      <c r="I502" s="11">
        <v>4488</v>
      </c>
      <c r="J502" s="11"/>
      <c r="K502" s="11"/>
      <c r="L502" s="11">
        <v>12</v>
      </c>
      <c r="M502" s="11"/>
      <c r="N502" s="11"/>
      <c r="O502" s="11"/>
      <c r="P502" s="11">
        <v>43</v>
      </c>
      <c r="Q502" s="11"/>
      <c r="R502" s="11">
        <v>408</v>
      </c>
      <c r="S502" s="11"/>
      <c r="T502" s="11"/>
      <c r="U502" s="11"/>
      <c r="V502" s="11"/>
      <c r="W502" s="11"/>
      <c r="X502" s="11">
        <v>194</v>
      </c>
      <c r="Y502" s="11">
        <v>91</v>
      </c>
      <c r="Z502" s="11"/>
      <c r="AA502" s="11"/>
      <c r="AB502" s="11"/>
      <c r="AC502" s="11">
        <v>735</v>
      </c>
      <c r="AD502" s="11"/>
      <c r="AE502" s="11"/>
      <c r="AF502" s="11"/>
      <c r="AG502" s="11"/>
      <c r="AH502" s="11"/>
      <c r="AI502" s="11">
        <v>13</v>
      </c>
      <c r="AJ502" s="11"/>
      <c r="AK502" s="11"/>
      <c r="AL502" s="11"/>
      <c r="AM502" s="11"/>
      <c r="AN502" s="11">
        <v>475</v>
      </c>
      <c r="AO502" s="11">
        <v>177</v>
      </c>
      <c r="AP502" s="11">
        <v>63</v>
      </c>
      <c r="AQ502" s="11"/>
      <c r="AR502" s="11">
        <v>24</v>
      </c>
      <c r="AS502" s="11">
        <v>9</v>
      </c>
      <c r="AT502" s="20" t="str">
        <f>HYPERLINK("http://www.openstreetmap.org/?mlat=34.4733&amp;mlon=43.7913&amp;zoom=12#map=12/34.4733/43.7913","Maplink1")</f>
        <v>Maplink1</v>
      </c>
      <c r="AU502" s="20" t="str">
        <f>HYPERLINK("https://www.google.iq/maps/search/+34.4733,43.7913/@34.4733,43.7913,14z?hl=en","Maplink2")</f>
        <v>Maplink2</v>
      </c>
      <c r="AV502" s="20" t="str">
        <f>HYPERLINK("http://www.bing.com/maps/?lvl=14&amp;sty=h&amp;cp=34.4733~43.7913&amp;sp=point.34.4733_43.7913","Maplink3")</f>
        <v>Maplink3</v>
      </c>
    </row>
    <row r="503" spans="1:48" s="19" customFormat="1" x14ac:dyDescent="0.25">
      <c r="A503" s="9">
        <v>26080</v>
      </c>
      <c r="B503" s="10" t="s">
        <v>22</v>
      </c>
      <c r="C503" s="10" t="s">
        <v>919</v>
      </c>
      <c r="D503" s="10" t="s">
        <v>932</v>
      </c>
      <c r="E503" s="10" t="s">
        <v>933</v>
      </c>
      <c r="F503" s="10">
        <v>34.453507930000001</v>
      </c>
      <c r="G503" s="10">
        <v>43.79186232</v>
      </c>
      <c r="H503" s="11">
        <v>398</v>
      </c>
      <c r="I503" s="11">
        <v>2388</v>
      </c>
      <c r="J503" s="11"/>
      <c r="K503" s="11"/>
      <c r="L503" s="11"/>
      <c r="M503" s="11"/>
      <c r="N503" s="11"/>
      <c r="O503" s="11"/>
      <c r="P503" s="11">
        <v>36</v>
      </c>
      <c r="Q503" s="11"/>
      <c r="R503" s="11">
        <v>117</v>
      </c>
      <c r="S503" s="11"/>
      <c r="T503" s="11"/>
      <c r="U503" s="11"/>
      <c r="V503" s="11"/>
      <c r="W503" s="11"/>
      <c r="X503" s="11">
        <v>225</v>
      </c>
      <c r="Y503" s="11">
        <v>20</v>
      </c>
      <c r="Z503" s="11"/>
      <c r="AA503" s="11"/>
      <c r="AB503" s="11"/>
      <c r="AC503" s="11">
        <v>398</v>
      </c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>
        <v>398</v>
      </c>
      <c r="AO503" s="11"/>
      <c r="AP503" s="11"/>
      <c r="AQ503" s="11"/>
      <c r="AR503" s="11"/>
      <c r="AS503" s="11"/>
      <c r="AT503" s="20" t="str">
        <f>HYPERLINK("http://www.openstreetmap.org/?mlat=34.4535&amp;mlon=43.7919&amp;zoom=12#map=12/34.4535/43.7919","Maplink1")</f>
        <v>Maplink1</v>
      </c>
      <c r="AU503" s="20" t="str">
        <f>HYPERLINK("https://www.google.iq/maps/search/+34.4535,43.7919/@34.4535,43.7919,14z?hl=en","Maplink2")</f>
        <v>Maplink2</v>
      </c>
      <c r="AV503" s="20" t="str">
        <f>HYPERLINK("http://www.bing.com/maps/?lvl=14&amp;sty=h&amp;cp=34.4535~43.7919&amp;sp=point.34.4535_43.7919","Maplink3")</f>
        <v>Maplink3</v>
      </c>
    </row>
    <row r="504" spans="1:48" s="19" customFormat="1" x14ac:dyDescent="0.25">
      <c r="A504" s="9">
        <v>26077</v>
      </c>
      <c r="B504" s="10" t="s">
        <v>22</v>
      </c>
      <c r="C504" s="10" t="s">
        <v>919</v>
      </c>
      <c r="D504" s="10" t="s">
        <v>934</v>
      </c>
      <c r="E504" s="10" t="s">
        <v>935</v>
      </c>
      <c r="F504" s="10">
        <v>34.446231679999997</v>
      </c>
      <c r="G504" s="10">
        <v>43.797421450000002</v>
      </c>
      <c r="H504" s="11">
        <v>1210</v>
      </c>
      <c r="I504" s="11">
        <v>7260</v>
      </c>
      <c r="J504" s="11"/>
      <c r="K504" s="11"/>
      <c r="L504" s="11"/>
      <c r="M504" s="11"/>
      <c r="N504" s="11"/>
      <c r="O504" s="11"/>
      <c r="P504" s="11">
        <v>106</v>
      </c>
      <c r="Q504" s="11"/>
      <c r="R504" s="11">
        <v>725</v>
      </c>
      <c r="S504" s="11"/>
      <c r="T504" s="11"/>
      <c r="U504" s="11"/>
      <c r="V504" s="11"/>
      <c r="W504" s="11"/>
      <c r="X504" s="11">
        <v>379</v>
      </c>
      <c r="Y504" s="11"/>
      <c r="Z504" s="11"/>
      <c r="AA504" s="11"/>
      <c r="AB504" s="11"/>
      <c r="AC504" s="11">
        <v>1210</v>
      </c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>
        <v>1190</v>
      </c>
      <c r="AO504" s="11">
        <v>20</v>
      </c>
      <c r="AP504" s="11"/>
      <c r="AQ504" s="11"/>
      <c r="AR504" s="11"/>
      <c r="AS504" s="11"/>
      <c r="AT504" s="20" t="str">
        <f>HYPERLINK("http://www.openstreetmap.org/?mlat=34.4462&amp;mlon=43.7974&amp;zoom=12#map=12/34.4462/43.7974","Maplink1")</f>
        <v>Maplink1</v>
      </c>
      <c r="AU504" s="20" t="str">
        <f>HYPERLINK("https://www.google.iq/maps/search/+34.4462,43.7974/@34.4462,43.7974,14z?hl=en","Maplink2")</f>
        <v>Maplink2</v>
      </c>
      <c r="AV504" s="20" t="str">
        <f>HYPERLINK("http://www.bing.com/maps/?lvl=14&amp;sty=h&amp;cp=34.4462~43.7974&amp;sp=point.34.4462_43.7974","Maplink3")</f>
        <v>Maplink3</v>
      </c>
    </row>
    <row r="505" spans="1:48" s="19" customFormat="1" x14ac:dyDescent="0.25">
      <c r="A505" s="9">
        <v>28420</v>
      </c>
      <c r="B505" s="10" t="s">
        <v>22</v>
      </c>
      <c r="C505" s="10" t="s">
        <v>936</v>
      </c>
      <c r="D505" s="10" t="s">
        <v>1173</v>
      </c>
      <c r="E505" s="10" t="s">
        <v>937</v>
      </c>
      <c r="F505" s="10">
        <v>33.876317280000002</v>
      </c>
      <c r="G505" s="10">
        <v>44.358220889999998</v>
      </c>
      <c r="H505" s="11">
        <v>540</v>
      </c>
      <c r="I505" s="11">
        <v>3240</v>
      </c>
      <c r="J505" s="11"/>
      <c r="K505" s="11"/>
      <c r="L505" s="11">
        <v>110</v>
      </c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>
        <v>430</v>
      </c>
      <c r="Y505" s="11"/>
      <c r="Z505" s="11"/>
      <c r="AA505" s="11"/>
      <c r="AB505" s="11"/>
      <c r="AC505" s="11">
        <v>437</v>
      </c>
      <c r="AD505" s="11">
        <v>63</v>
      </c>
      <c r="AE505" s="11"/>
      <c r="AF505" s="11"/>
      <c r="AG505" s="11"/>
      <c r="AH505" s="11"/>
      <c r="AI505" s="11">
        <v>40</v>
      </c>
      <c r="AJ505" s="11"/>
      <c r="AK505" s="11"/>
      <c r="AL505" s="11"/>
      <c r="AM505" s="11">
        <v>415</v>
      </c>
      <c r="AN505" s="11">
        <v>125</v>
      </c>
      <c r="AO505" s="11"/>
      <c r="AP505" s="11"/>
      <c r="AQ505" s="11"/>
      <c r="AR505" s="11"/>
      <c r="AS505" s="11"/>
      <c r="AT505" s="20" t="str">
        <f>HYPERLINK("http://www.openstreetmap.org/?mlat=33.8763&amp;mlon=44.3582&amp;zoom=12#map=12/33.8763/44.3582","Maplink1")</f>
        <v>Maplink1</v>
      </c>
      <c r="AU505" s="20" t="str">
        <f>HYPERLINK("https://www.google.iq/maps/search/+33.8763,44.3582/@33.8763,44.3582,14z?hl=en","Maplink2")</f>
        <v>Maplink2</v>
      </c>
      <c r="AV505" s="20" t="str">
        <f>HYPERLINK("http://www.bing.com/maps/?lvl=14&amp;sty=h&amp;cp=33.8763~44.3582&amp;sp=point.33.8763_44.3582","Maplink3")</f>
        <v>Maplink3</v>
      </c>
    </row>
    <row r="506" spans="1:48" s="19" customFormat="1" x14ac:dyDescent="0.25">
      <c r="A506" s="9">
        <v>25947</v>
      </c>
      <c r="B506" s="10" t="s">
        <v>22</v>
      </c>
      <c r="C506" s="10" t="s">
        <v>936</v>
      </c>
      <c r="D506" s="10" t="s">
        <v>1174</v>
      </c>
      <c r="E506" s="10" t="s">
        <v>938</v>
      </c>
      <c r="F506" s="10">
        <v>33.909243490000001</v>
      </c>
      <c r="G506" s="10">
        <v>44.183530609999998</v>
      </c>
      <c r="H506" s="11">
        <v>513</v>
      </c>
      <c r="I506" s="11">
        <v>3078</v>
      </c>
      <c r="J506" s="11"/>
      <c r="K506" s="11"/>
      <c r="L506" s="11">
        <v>334</v>
      </c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>
        <v>179</v>
      </c>
      <c r="Y506" s="11"/>
      <c r="Z506" s="11"/>
      <c r="AA506" s="11"/>
      <c r="AB506" s="11"/>
      <c r="AC506" s="11">
        <v>482</v>
      </c>
      <c r="AD506" s="11">
        <v>12</v>
      </c>
      <c r="AE506" s="11"/>
      <c r="AF506" s="11"/>
      <c r="AG506" s="11"/>
      <c r="AH506" s="11"/>
      <c r="AI506" s="11">
        <v>19</v>
      </c>
      <c r="AJ506" s="11"/>
      <c r="AK506" s="11"/>
      <c r="AL506" s="11"/>
      <c r="AM506" s="11">
        <v>390</v>
      </c>
      <c r="AN506" s="11">
        <v>123</v>
      </c>
      <c r="AO506" s="11"/>
      <c r="AP506" s="11"/>
      <c r="AQ506" s="11"/>
      <c r="AR506" s="11"/>
      <c r="AS506" s="11"/>
      <c r="AT506" s="20" t="str">
        <f>HYPERLINK("http://www.openstreetmap.org/?mlat=33.9092&amp;mlon=44.1835&amp;zoom=12#map=12/33.9092/44.1835","Maplink1")</f>
        <v>Maplink1</v>
      </c>
      <c r="AU506" s="20" t="str">
        <f>HYPERLINK("https://www.google.iq/maps/search/+33.9092,44.1835/@33.9092,44.1835,14z?hl=en","Maplink2")</f>
        <v>Maplink2</v>
      </c>
      <c r="AV506" s="20" t="str">
        <f>HYPERLINK("http://www.bing.com/maps/?lvl=14&amp;sty=h&amp;cp=33.9092~44.1835&amp;sp=point.33.9092_44.1835","Maplink3")</f>
        <v>Maplink3</v>
      </c>
    </row>
    <row r="507" spans="1:48" s="19" customFormat="1" x14ac:dyDescent="0.25">
      <c r="A507" s="9">
        <v>23300</v>
      </c>
      <c r="B507" s="10" t="s">
        <v>22</v>
      </c>
      <c r="C507" s="10" t="s">
        <v>939</v>
      </c>
      <c r="D507" s="10" t="s">
        <v>940</v>
      </c>
      <c r="E507" s="10" t="s">
        <v>941</v>
      </c>
      <c r="F507" s="10">
        <v>35.440358000000003</v>
      </c>
      <c r="G507" s="10">
        <v>43.219168000000003</v>
      </c>
      <c r="H507" s="11">
        <v>162</v>
      </c>
      <c r="I507" s="11">
        <v>972</v>
      </c>
      <c r="J507" s="11"/>
      <c r="K507" s="11"/>
      <c r="L507" s="11"/>
      <c r="M507" s="11"/>
      <c r="N507" s="11"/>
      <c r="O507" s="11"/>
      <c r="P507" s="11">
        <v>39</v>
      </c>
      <c r="Q507" s="11"/>
      <c r="R507" s="11">
        <v>25</v>
      </c>
      <c r="S507" s="11"/>
      <c r="T507" s="11"/>
      <c r="U507" s="11"/>
      <c r="V507" s="11"/>
      <c r="W507" s="11"/>
      <c r="X507" s="11">
        <v>98</v>
      </c>
      <c r="Y507" s="11"/>
      <c r="Z507" s="11"/>
      <c r="AA507" s="11"/>
      <c r="AB507" s="11"/>
      <c r="AC507" s="11">
        <v>162</v>
      </c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>
        <v>49</v>
      </c>
      <c r="AO507" s="11">
        <v>113</v>
      </c>
      <c r="AP507" s="11"/>
      <c r="AQ507" s="11"/>
      <c r="AR507" s="11"/>
      <c r="AS507" s="11"/>
      <c r="AT507" s="20" t="str">
        <f>HYPERLINK("http://www.openstreetmap.org/?mlat=35.4404&amp;mlon=43.2192&amp;zoom=12#map=12/35.4404/43.2192","Maplink1")</f>
        <v>Maplink1</v>
      </c>
      <c r="AU507" s="20" t="str">
        <f>HYPERLINK("https://www.google.iq/maps/search/+35.4404,43.2192/@35.4404,43.2192,14z?hl=en","Maplink2")</f>
        <v>Maplink2</v>
      </c>
      <c r="AV507" s="20" t="str">
        <f>HYPERLINK("http://www.bing.com/maps/?lvl=14&amp;sty=h&amp;cp=35.4404~43.2192&amp;sp=point.35.4404_43.2192","Maplink3")</f>
        <v>Maplink3</v>
      </c>
    </row>
    <row r="508" spans="1:48" s="19" customFormat="1" x14ac:dyDescent="0.25">
      <c r="A508" s="9">
        <v>21005</v>
      </c>
      <c r="B508" s="10" t="s">
        <v>22</v>
      </c>
      <c r="C508" s="10" t="s">
        <v>939</v>
      </c>
      <c r="D508" s="10" t="s">
        <v>942</v>
      </c>
      <c r="E508" s="10" t="s">
        <v>943</v>
      </c>
      <c r="F508" s="10">
        <v>35.493077</v>
      </c>
      <c r="G508" s="10">
        <v>43.235813</v>
      </c>
      <c r="H508" s="11">
        <v>737</v>
      </c>
      <c r="I508" s="11">
        <v>4422</v>
      </c>
      <c r="J508" s="11"/>
      <c r="K508" s="11"/>
      <c r="L508" s="11">
        <v>15</v>
      </c>
      <c r="M508" s="11"/>
      <c r="N508" s="11"/>
      <c r="O508" s="11"/>
      <c r="P508" s="11">
        <v>87</v>
      </c>
      <c r="Q508" s="11"/>
      <c r="R508" s="11">
        <v>164</v>
      </c>
      <c r="S508" s="11"/>
      <c r="T508" s="11"/>
      <c r="U508" s="11"/>
      <c r="V508" s="11"/>
      <c r="W508" s="11"/>
      <c r="X508" s="11">
        <v>471</v>
      </c>
      <c r="Y508" s="11"/>
      <c r="Z508" s="11"/>
      <c r="AA508" s="11"/>
      <c r="AB508" s="11">
        <v>34</v>
      </c>
      <c r="AC508" s="11">
        <v>600</v>
      </c>
      <c r="AD508" s="11"/>
      <c r="AE508" s="11"/>
      <c r="AF508" s="11"/>
      <c r="AG508" s="11"/>
      <c r="AH508" s="11"/>
      <c r="AI508" s="11">
        <v>103</v>
      </c>
      <c r="AJ508" s="11"/>
      <c r="AK508" s="11"/>
      <c r="AL508" s="11"/>
      <c r="AM508" s="11"/>
      <c r="AN508" s="11">
        <v>350</v>
      </c>
      <c r="AO508" s="11">
        <v>280</v>
      </c>
      <c r="AP508" s="11"/>
      <c r="AQ508" s="11"/>
      <c r="AR508" s="11"/>
      <c r="AS508" s="11">
        <v>107</v>
      </c>
      <c r="AT508" s="20" t="str">
        <f>HYPERLINK("http://www.openstreetmap.org/?mlat=35.4931&amp;mlon=43.2358&amp;zoom=12#map=12/35.4931/43.2358","Maplink1")</f>
        <v>Maplink1</v>
      </c>
      <c r="AU508" s="20" t="str">
        <f>HYPERLINK("https://www.google.iq/maps/search/+35.4931,43.2358/@35.4931,43.2358,14z?hl=en","Maplink2")</f>
        <v>Maplink2</v>
      </c>
      <c r="AV508" s="20" t="str">
        <f>HYPERLINK("http://www.bing.com/maps/?lvl=14&amp;sty=h&amp;cp=35.4931~43.2358&amp;sp=point.35.4931_43.2358","Maplink3")</f>
        <v>Maplink3</v>
      </c>
    </row>
    <row r="509" spans="1:48" s="19" customFormat="1" x14ac:dyDescent="0.25">
      <c r="A509" s="9">
        <v>20392</v>
      </c>
      <c r="B509" s="10" t="s">
        <v>22</v>
      </c>
      <c r="C509" s="10" t="s">
        <v>939</v>
      </c>
      <c r="D509" s="10" t="s">
        <v>944</v>
      </c>
      <c r="E509" s="10" t="s">
        <v>945</v>
      </c>
      <c r="F509" s="10">
        <v>35.610805999999997</v>
      </c>
      <c r="G509" s="10">
        <v>43.245241999999998</v>
      </c>
      <c r="H509" s="11">
        <v>159</v>
      </c>
      <c r="I509" s="11">
        <v>954</v>
      </c>
      <c r="J509" s="11"/>
      <c r="K509" s="11"/>
      <c r="L509" s="11"/>
      <c r="M509" s="11"/>
      <c r="N509" s="11"/>
      <c r="O509" s="11"/>
      <c r="P509" s="11">
        <v>21</v>
      </c>
      <c r="Q509" s="11"/>
      <c r="R509" s="11">
        <v>27</v>
      </c>
      <c r="S509" s="11"/>
      <c r="T509" s="11"/>
      <c r="U509" s="11"/>
      <c r="V509" s="11"/>
      <c r="W509" s="11"/>
      <c r="X509" s="11">
        <v>111</v>
      </c>
      <c r="Y509" s="11"/>
      <c r="Z509" s="11"/>
      <c r="AA509" s="11"/>
      <c r="AB509" s="11"/>
      <c r="AC509" s="11">
        <v>159</v>
      </c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>
        <v>100</v>
      </c>
      <c r="AO509" s="11">
        <v>59</v>
      </c>
      <c r="AP509" s="11"/>
      <c r="AQ509" s="11"/>
      <c r="AR509" s="11"/>
      <c r="AS509" s="11"/>
      <c r="AT509" s="20" t="str">
        <f>HYPERLINK("http://www.openstreetmap.org/?mlat=35.6108&amp;mlon=43.2452&amp;zoom=12#map=12/35.6108/43.2452","Maplink1")</f>
        <v>Maplink1</v>
      </c>
      <c r="AU509" s="20" t="str">
        <f>HYPERLINK("https://www.google.iq/maps/search/+35.6108,43.2452/@35.6108,43.2452,14z?hl=en","Maplink2")</f>
        <v>Maplink2</v>
      </c>
      <c r="AV509" s="20" t="str">
        <f>HYPERLINK("http://www.bing.com/maps/?lvl=14&amp;sty=h&amp;cp=35.6108~43.2452&amp;sp=point.35.6108_43.2452","Maplink3")</f>
        <v>Maplink3</v>
      </c>
    </row>
    <row r="510" spans="1:48" s="19" customFormat="1" x14ac:dyDescent="0.25">
      <c r="A510" s="9">
        <v>21002</v>
      </c>
      <c r="B510" s="10" t="s">
        <v>22</v>
      </c>
      <c r="C510" s="10" t="s">
        <v>939</v>
      </c>
      <c r="D510" s="10" t="s">
        <v>946</v>
      </c>
      <c r="E510" s="10" t="s">
        <v>947</v>
      </c>
      <c r="F510" s="10">
        <v>35.392522</v>
      </c>
      <c r="G510" s="10">
        <v>43.259435000000003</v>
      </c>
      <c r="H510" s="11">
        <v>145</v>
      </c>
      <c r="I510" s="11">
        <v>870</v>
      </c>
      <c r="J510" s="11"/>
      <c r="K510" s="11"/>
      <c r="L510" s="11"/>
      <c r="M510" s="11"/>
      <c r="N510" s="11"/>
      <c r="O510" s="11"/>
      <c r="P510" s="11">
        <v>32</v>
      </c>
      <c r="Q510" s="11"/>
      <c r="R510" s="11">
        <v>25</v>
      </c>
      <c r="S510" s="11"/>
      <c r="T510" s="11"/>
      <c r="U510" s="11"/>
      <c r="V510" s="11"/>
      <c r="W510" s="11"/>
      <c r="X510" s="11">
        <v>88</v>
      </c>
      <c r="Y510" s="11"/>
      <c r="Z510" s="11"/>
      <c r="AA510" s="11"/>
      <c r="AB510" s="11"/>
      <c r="AC510" s="11">
        <v>145</v>
      </c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>
        <v>90</v>
      </c>
      <c r="AO510" s="11">
        <v>55</v>
      </c>
      <c r="AP510" s="11"/>
      <c r="AQ510" s="11"/>
      <c r="AR510" s="11"/>
      <c r="AS510" s="11"/>
      <c r="AT510" s="20" t="str">
        <f>HYPERLINK("http://www.openstreetmap.org/?mlat=35.3925&amp;mlon=43.2594&amp;zoom=12#map=12/35.3925/43.2594","Maplink1")</f>
        <v>Maplink1</v>
      </c>
      <c r="AU510" s="20" t="str">
        <f>HYPERLINK("https://www.google.iq/maps/search/+35.3925,43.2594/@35.3925,43.2594,14z?hl=en","Maplink2")</f>
        <v>Maplink2</v>
      </c>
      <c r="AV510" s="20" t="str">
        <f>HYPERLINK("http://www.bing.com/maps/?lvl=14&amp;sty=h&amp;cp=35.3925~43.2594&amp;sp=point.35.3925_43.2594","Maplink3")</f>
        <v>Maplink3</v>
      </c>
    </row>
    <row r="511" spans="1:48" s="19" customFormat="1" x14ac:dyDescent="0.25">
      <c r="A511" s="9">
        <v>24667</v>
      </c>
      <c r="B511" s="10" t="s">
        <v>22</v>
      </c>
      <c r="C511" s="10" t="s">
        <v>939</v>
      </c>
      <c r="D511" s="10" t="s">
        <v>948</v>
      </c>
      <c r="E511" s="10" t="s">
        <v>949</v>
      </c>
      <c r="F511" s="10">
        <v>35.474212999999999</v>
      </c>
      <c r="G511" s="10">
        <v>43.239139999999999</v>
      </c>
      <c r="H511" s="11">
        <v>95</v>
      </c>
      <c r="I511" s="11">
        <v>570</v>
      </c>
      <c r="J511" s="11"/>
      <c r="K511" s="11"/>
      <c r="L511" s="11"/>
      <c r="M511" s="11"/>
      <c r="N511" s="11"/>
      <c r="O511" s="11"/>
      <c r="P511" s="11">
        <v>18</v>
      </c>
      <c r="Q511" s="11"/>
      <c r="R511" s="11"/>
      <c r="S511" s="11"/>
      <c r="T511" s="11"/>
      <c r="U511" s="11"/>
      <c r="V511" s="11"/>
      <c r="W511" s="11"/>
      <c r="X511" s="11">
        <v>77</v>
      </c>
      <c r="Y511" s="11"/>
      <c r="Z511" s="11"/>
      <c r="AA511" s="11"/>
      <c r="AB511" s="11"/>
      <c r="AC511" s="11">
        <v>95</v>
      </c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>
        <v>95</v>
      </c>
      <c r="AO511" s="11"/>
      <c r="AP511" s="11"/>
      <c r="AQ511" s="11"/>
      <c r="AR511" s="11"/>
      <c r="AS511" s="11"/>
      <c r="AT511" s="20" t="str">
        <f>HYPERLINK("http://www.openstreetmap.org/?mlat=35.4742&amp;mlon=43.2391&amp;zoom=12#map=12/35.4742/43.2391","Maplink1")</f>
        <v>Maplink1</v>
      </c>
      <c r="AU511" s="20" t="str">
        <f>HYPERLINK("https://www.google.iq/maps/search/+35.4742,43.2391/@35.4742,43.2391,14z?hl=en","Maplink2")</f>
        <v>Maplink2</v>
      </c>
      <c r="AV511" s="20" t="str">
        <f>HYPERLINK("http://www.bing.com/maps/?lvl=14&amp;sty=h&amp;cp=35.4742~43.2391&amp;sp=point.35.4742_43.2391","Maplink3")</f>
        <v>Maplink3</v>
      </c>
    </row>
    <row r="512" spans="1:48" s="19" customFormat="1" x14ac:dyDescent="0.25">
      <c r="A512" s="9">
        <v>20389</v>
      </c>
      <c r="B512" s="10" t="s">
        <v>22</v>
      </c>
      <c r="C512" s="10" t="s">
        <v>939</v>
      </c>
      <c r="D512" s="10" t="s">
        <v>950</v>
      </c>
      <c r="E512" s="10" t="s">
        <v>951</v>
      </c>
      <c r="F512" s="10">
        <v>35.628256</v>
      </c>
      <c r="G512" s="10">
        <v>43.229315</v>
      </c>
      <c r="H512" s="11">
        <v>231</v>
      </c>
      <c r="I512" s="11">
        <v>1386</v>
      </c>
      <c r="J512" s="11"/>
      <c r="K512" s="11"/>
      <c r="L512" s="11"/>
      <c r="M512" s="11"/>
      <c r="N512" s="11"/>
      <c r="O512" s="11"/>
      <c r="P512" s="11">
        <v>17</v>
      </c>
      <c r="Q512" s="11"/>
      <c r="R512" s="11">
        <v>40</v>
      </c>
      <c r="S512" s="11"/>
      <c r="T512" s="11"/>
      <c r="U512" s="11"/>
      <c r="V512" s="11"/>
      <c r="W512" s="11"/>
      <c r="X512" s="11">
        <v>174</v>
      </c>
      <c r="Y512" s="11"/>
      <c r="Z512" s="11"/>
      <c r="AA512" s="11"/>
      <c r="AB512" s="11"/>
      <c r="AC512" s="11">
        <v>231</v>
      </c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>
        <v>111</v>
      </c>
      <c r="AO512" s="11">
        <v>120</v>
      </c>
      <c r="AP512" s="11"/>
      <c r="AQ512" s="11"/>
      <c r="AR512" s="11"/>
      <c r="AS512" s="11"/>
      <c r="AT512" s="20" t="str">
        <f>HYPERLINK("http://www.openstreetmap.org/?mlat=35.6283&amp;mlon=43.2293&amp;zoom=12#map=12/35.6283/43.2293","Maplink1")</f>
        <v>Maplink1</v>
      </c>
      <c r="AU512" s="20" t="str">
        <f>HYPERLINK("https://www.google.iq/maps/search/+35.6283,43.2293/@35.6283,43.2293,14z?hl=en","Maplink2")</f>
        <v>Maplink2</v>
      </c>
      <c r="AV512" s="20" t="str">
        <f>HYPERLINK("http://www.bing.com/maps/?lvl=14&amp;sty=h&amp;cp=35.6283~43.2293&amp;sp=point.35.6283_43.2293","Maplink3")</f>
        <v>Maplink3</v>
      </c>
    </row>
    <row r="513" spans="1:48" s="19" customFormat="1" x14ac:dyDescent="0.25">
      <c r="A513" s="9">
        <v>29650</v>
      </c>
      <c r="B513" s="10" t="s">
        <v>22</v>
      </c>
      <c r="C513" s="10" t="s">
        <v>939</v>
      </c>
      <c r="D513" s="10" t="s">
        <v>952</v>
      </c>
      <c r="E513" s="10" t="s">
        <v>953</v>
      </c>
      <c r="F513" s="10">
        <v>35.591273000000001</v>
      </c>
      <c r="G513" s="10">
        <v>43.240076000000002</v>
      </c>
      <c r="H513" s="11">
        <v>249</v>
      </c>
      <c r="I513" s="11">
        <v>1494</v>
      </c>
      <c r="J513" s="11"/>
      <c r="K513" s="11"/>
      <c r="L513" s="11">
        <v>24</v>
      </c>
      <c r="M513" s="11">
        <v>8</v>
      </c>
      <c r="N513" s="11"/>
      <c r="O513" s="11"/>
      <c r="P513" s="11">
        <v>38</v>
      </c>
      <c r="Q513" s="11"/>
      <c r="R513" s="11">
        <v>86</v>
      </c>
      <c r="S513" s="11"/>
      <c r="T513" s="11"/>
      <c r="U513" s="11"/>
      <c r="V513" s="11"/>
      <c r="W513" s="11"/>
      <c r="X513" s="11">
        <v>86</v>
      </c>
      <c r="Y513" s="11">
        <v>7</v>
      </c>
      <c r="Z513" s="11"/>
      <c r="AA513" s="11"/>
      <c r="AB513" s="11"/>
      <c r="AC513" s="11">
        <v>249</v>
      </c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>
        <v>133</v>
      </c>
      <c r="AO513" s="11">
        <v>116</v>
      </c>
      <c r="AP513" s="11"/>
      <c r="AQ513" s="11"/>
      <c r="AR513" s="11"/>
      <c r="AS513" s="11"/>
      <c r="AT513" s="20" t="str">
        <f>HYPERLINK("http://www.openstreetmap.org/?mlat=35.5913&amp;mlon=43.2401&amp;zoom=12#map=12/35.5913/43.2401","Maplink1")</f>
        <v>Maplink1</v>
      </c>
      <c r="AU513" s="20" t="str">
        <f>HYPERLINK("https://www.google.iq/maps/search/+35.5913,43.2401/@35.5913,43.2401,14z?hl=en","Maplink2")</f>
        <v>Maplink2</v>
      </c>
      <c r="AV513" s="20" t="str">
        <f>HYPERLINK("http://www.bing.com/maps/?lvl=14&amp;sty=h&amp;cp=35.5913~43.2401&amp;sp=point.35.5913_43.2401","Maplink3")</f>
        <v>Maplink3</v>
      </c>
    </row>
    <row r="514" spans="1:48" s="19" customFormat="1" x14ac:dyDescent="0.25">
      <c r="A514" s="9">
        <v>29664</v>
      </c>
      <c r="B514" s="10" t="s">
        <v>22</v>
      </c>
      <c r="C514" s="10" t="s">
        <v>939</v>
      </c>
      <c r="D514" s="10" t="s">
        <v>954</v>
      </c>
      <c r="E514" s="10" t="s">
        <v>955</v>
      </c>
      <c r="F514" s="10">
        <v>35.413449999999997</v>
      </c>
      <c r="G514" s="10">
        <v>43.198565000000002</v>
      </c>
      <c r="H514" s="11">
        <v>145</v>
      </c>
      <c r="I514" s="11">
        <v>870</v>
      </c>
      <c r="J514" s="11"/>
      <c r="K514" s="11"/>
      <c r="L514" s="11"/>
      <c r="M514" s="11"/>
      <c r="N514" s="11"/>
      <c r="O514" s="11"/>
      <c r="P514" s="11">
        <v>20</v>
      </c>
      <c r="Q514" s="11"/>
      <c r="R514" s="11"/>
      <c r="S514" s="11">
        <v>30</v>
      </c>
      <c r="T514" s="11"/>
      <c r="U514" s="11"/>
      <c r="V514" s="11"/>
      <c r="W514" s="11"/>
      <c r="X514" s="11">
        <v>55</v>
      </c>
      <c r="Y514" s="11">
        <v>40</v>
      </c>
      <c r="Z514" s="11"/>
      <c r="AA514" s="11"/>
      <c r="AB514" s="11"/>
      <c r="AC514" s="11">
        <v>75</v>
      </c>
      <c r="AD514" s="11"/>
      <c r="AE514" s="11"/>
      <c r="AF514" s="11"/>
      <c r="AG514" s="11"/>
      <c r="AH514" s="11"/>
      <c r="AI514" s="11">
        <v>70</v>
      </c>
      <c r="AJ514" s="11"/>
      <c r="AK514" s="11"/>
      <c r="AL514" s="11"/>
      <c r="AM514" s="11"/>
      <c r="AN514" s="11"/>
      <c r="AO514" s="11">
        <v>10</v>
      </c>
      <c r="AP514" s="11">
        <v>10</v>
      </c>
      <c r="AQ514" s="11">
        <v>25</v>
      </c>
      <c r="AR514" s="11">
        <v>20</v>
      </c>
      <c r="AS514" s="11">
        <v>80</v>
      </c>
      <c r="AT514" s="20" t="str">
        <f>HYPERLINK("http://www.openstreetmap.org/?mlat=35.4134&amp;mlon=43.1986&amp;zoom=12#map=12/35.4134/43.1986","Maplink1")</f>
        <v>Maplink1</v>
      </c>
      <c r="AU514" s="20" t="str">
        <f>HYPERLINK("https://www.google.iq/maps/search/+35.4134,43.1986/@35.4134,43.1986,14z?hl=en","Maplink2")</f>
        <v>Maplink2</v>
      </c>
      <c r="AV514" s="20" t="str">
        <f>HYPERLINK("http://www.bing.com/maps/?lvl=14&amp;sty=h&amp;cp=35.4134~43.1986&amp;sp=point.35.4134_43.1986","Maplink3")</f>
        <v>Maplink3</v>
      </c>
    </row>
    <row r="515" spans="1:48" s="19" customFormat="1" x14ac:dyDescent="0.25">
      <c r="A515" s="9">
        <v>21955</v>
      </c>
      <c r="B515" s="10" t="s">
        <v>22</v>
      </c>
      <c r="C515" s="10" t="s">
        <v>939</v>
      </c>
      <c r="D515" s="10" t="s">
        <v>956</v>
      </c>
      <c r="E515" s="10" t="s">
        <v>957</v>
      </c>
      <c r="F515" s="10">
        <v>35.483874</v>
      </c>
      <c r="G515" s="10">
        <v>43.239254000000003</v>
      </c>
      <c r="H515" s="11">
        <v>516</v>
      </c>
      <c r="I515" s="11">
        <v>3096</v>
      </c>
      <c r="J515" s="11"/>
      <c r="K515" s="11"/>
      <c r="L515" s="11">
        <v>7</v>
      </c>
      <c r="M515" s="11">
        <v>18</v>
      </c>
      <c r="N515" s="11"/>
      <c r="O515" s="11"/>
      <c r="P515" s="11">
        <v>69</v>
      </c>
      <c r="Q515" s="11"/>
      <c r="R515" s="11">
        <v>104</v>
      </c>
      <c r="S515" s="11"/>
      <c r="T515" s="11"/>
      <c r="U515" s="11"/>
      <c r="V515" s="11"/>
      <c r="W515" s="11"/>
      <c r="X515" s="11">
        <v>318</v>
      </c>
      <c r="Y515" s="11"/>
      <c r="Z515" s="11"/>
      <c r="AA515" s="11"/>
      <c r="AB515" s="11">
        <v>70</v>
      </c>
      <c r="AC515" s="11">
        <v>316</v>
      </c>
      <c r="AD515" s="11"/>
      <c r="AE515" s="11"/>
      <c r="AF515" s="11"/>
      <c r="AG515" s="11"/>
      <c r="AH515" s="11"/>
      <c r="AI515" s="11">
        <v>130</v>
      </c>
      <c r="AJ515" s="11"/>
      <c r="AK515" s="11"/>
      <c r="AL515" s="11"/>
      <c r="AM515" s="11"/>
      <c r="AN515" s="11">
        <v>300</v>
      </c>
      <c r="AO515" s="11">
        <v>110</v>
      </c>
      <c r="AP515" s="11"/>
      <c r="AQ515" s="11"/>
      <c r="AR515" s="11"/>
      <c r="AS515" s="11">
        <v>106</v>
      </c>
      <c r="AT515" s="20" t="str">
        <f>HYPERLINK("http://www.openstreetmap.org/?mlat=35.4839&amp;mlon=43.2393&amp;zoom=12#map=12/35.4839/43.2393","Maplink1")</f>
        <v>Maplink1</v>
      </c>
      <c r="AU515" s="20" t="str">
        <f>HYPERLINK("https://www.google.iq/maps/search/+35.4839,43.2393/@35.4839,43.2393,14z?hl=en","Maplink2")</f>
        <v>Maplink2</v>
      </c>
      <c r="AV515" s="20" t="str">
        <f>HYPERLINK("http://www.bing.com/maps/?lvl=14&amp;sty=h&amp;cp=35.4839~43.2393&amp;sp=point.35.4839_43.2393","Maplink3")</f>
        <v>Maplink3</v>
      </c>
    </row>
    <row r="516" spans="1:48" s="19" customFormat="1" x14ac:dyDescent="0.25">
      <c r="A516" s="9">
        <v>21347</v>
      </c>
      <c r="B516" s="10" t="s">
        <v>22</v>
      </c>
      <c r="C516" s="10" t="s">
        <v>939</v>
      </c>
      <c r="D516" s="10" t="s">
        <v>958</v>
      </c>
      <c r="E516" s="10" t="s">
        <v>959</v>
      </c>
      <c r="F516" s="10">
        <v>35.404465000000002</v>
      </c>
      <c r="G516" s="10">
        <v>43.215980999999999</v>
      </c>
      <c r="H516" s="11">
        <v>116</v>
      </c>
      <c r="I516" s="11">
        <v>696</v>
      </c>
      <c r="J516" s="11"/>
      <c r="K516" s="11"/>
      <c r="L516" s="11"/>
      <c r="M516" s="11"/>
      <c r="N516" s="11"/>
      <c r="O516" s="11"/>
      <c r="P516" s="11">
        <v>23</v>
      </c>
      <c r="Q516" s="11"/>
      <c r="R516" s="11">
        <v>14</v>
      </c>
      <c r="S516" s="11"/>
      <c r="T516" s="11"/>
      <c r="U516" s="11"/>
      <c r="V516" s="11"/>
      <c r="W516" s="11"/>
      <c r="X516" s="11">
        <v>79</v>
      </c>
      <c r="Y516" s="11"/>
      <c r="Z516" s="11"/>
      <c r="AA516" s="11"/>
      <c r="AB516" s="11"/>
      <c r="AC516" s="11">
        <v>116</v>
      </c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>
        <v>114</v>
      </c>
      <c r="AO516" s="11">
        <v>2</v>
      </c>
      <c r="AP516" s="11"/>
      <c r="AQ516" s="11"/>
      <c r="AR516" s="11"/>
      <c r="AS516" s="11"/>
      <c r="AT516" s="20" t="str">
        <f>HYPERLINK("http://www.openstreetmap.org/?mlat=35.4045&amp;mlon=43.216&amp;zoom=12#map=12/35.4045/43.216","Maplink1")</f>
        <v>Maplink1</v>
      </c>
      <c r="AU516" s="20" t="str">
        <f>HYPERLINK("https://www.google.iq/maps/search/+35.4045,43.216/@35.4045,43.216,14z?hl=en","Maplink2")</f>
        <v>Maplink2</v>
      </c>
      <c r="AV516" s="20" t="str">
        <f>HYPERLINK("http://www.bing.com/maps/?lvl=14&amp;sty=h&amp;cp=35.4045~43.216&amp;sp=point.35.4045_43.216","Maplink3")</f>
        <v>Maplink3</v>
      </c>
    </row>
    <row r="517" spans="1:48" s="19" customFormat="1" x14ac:dyDescent="0.25">
      <c r="A517" s="9">
        <v>29651</v>
      </c>
      <c r="B517" s="10" t="s">
        <v>22</v>
      </c>
      <c r="C517" s="10" t="s">
        <v>939</v>
      </c>
      <c r="D517" s="10" t="s">
        <v>960</v>
      </c>
      <c r="E517" s="10" t="s">
        <v>372</v>
      </c>
      <c r="F517" s="10">
        <v>35.432485999999997</v>
      </c>
      <c r="G517" s="10">
        <v>43.228507999999998</v>
      </c>
      <c r="H517" s="11">
        <v>76</v>
      </c>
      <c r="I517" s="11">
        <v>456</v>
      </c>
      <c r="J517" s="11"/>
      <c r="K517" s="11"/>
      <c r="L517" s="11"/>
      <c r="M517" s="11"/>
      <c r="N517" s="11"/>
      <c r="O517" s="11"/>
      <c r="P517" s="11">
        <v>25</v>
      </c>
      <c r="Q517" s="11"/>
      <c r="R517" s="11">
        <v>7</v>
      </c>
      <c r="S517" s="11"/>
      <c r="T517" s="11"/>
      <c r="U517" s="11"/>
      <c r="V517" s="11"/>
      <c r="W517" s="11"/>
      <c r="X517" s="11">
        <v>44</v>
      </c>
      <c r="Y517" s="11"/>
      <c r="Z517" s="11"/>
      <c r="AA517" s="11"/>
      <c r="AB517" s="11"/>
      <c r="AC517" s="11">
        <v>76</v>
      </c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>
        <v>36</v>
      </c>
      <c r="AO517" s="11">
        <v>40</v>
      </c>
      <c r="AP517" s="11"/>
      <c r="AQ517" s="11"/>
      <c r="AR517" s="11"/>
      <c r="AS517" s="11"/>
      <c r="AT517" s="20" t="str">
        <f>HYPERLINK("http://www.openstreetmap.org/?mlat=35.4325&amp;mlon=43.2285&amp;zoom=12#map=12/35.4325/43.2285","Maplink1")</f>
        <v>Maplink1</v>
      </c>
      <c r="AU517" s="20" t="str">
        <f>HYPERLINK("https://www.google.iq/maps/search/+35.4325,43.2285/@35.4325,43.2285,14z?hl=en","Maplink2")</f>
        <v>Maplink2</v>
      </c>
      <c r="AV517" s="20" t="str">
        <f>HYPERLINK("http://www.bing.com/maps/?lvl=14&amp;sty=h&amp;cp=35.4325~43.2285&amp;sp=point.35.4325_43.2285","Maplink3")</f>
        <v>Maplink3</v>
      </c>
    </row>
    <row r="518" spans="1:48" s="19" customFormat="1" x14ac:dyDescent="0.25">
      <c r="A518" s="9">
        <v>29653</v>
      </c>
      <c r="B518" s="10" t="s">
        <v>22</v>
      </c>
      <c r="C518" s="10" t="s">
        <v>939</v>
      </c>
      <c r="D518" s="10" t="s">
        <v>961</v>
      </c>
      <c r="E518" s="10" t="s">
        <v>175</v>
      </c>
      <c r="F518" s="10">
        <v>35.526406000000001</v>
      </c>
      <c r="G518" s="10">
        <v>43.237721000000001</v>
      </c>
      <c r="H518" s="11">
        <v>119</v>
      </c>
      <c r="I518" s="11">
        <v>714</v>
      </c>
      <c r="J518" s="11"/>
      <c r="K518" s="11"/>
      <c r="L518" s="11"/>
      <c r="M518" s="11"/>
      <c r="N518" s="11"/>
      <c r="O518" s="11"/>
      <c r="P518" s="11">
        <v>22</v>
      </c>
      <c r="Q518" s="11"/>
      <c r="R518" s="11">
        <v>22</v>
      </c>
      <c r="S518" s="11"/>
      <c r="T518" s="11"/>
      <c r="U518" s="11"/>
      <c r="V518" s="11"/>
      <c r="W518" s="11"/>
      <c r="X518" s="11">
        <v>71</v>
      </c>
      <c r="Y518" s="11">
        <v>4</v>
      </c>
      <c r="Z518" s="11"/>
      <c r="AA518" s="11"/>
      <c r="AB518" s="11"/>
      <c r="AC518" s="11">
        <v>119</v>
      </c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>
        <v>100</v>
      </c>
      <c r="AO518" s="11">
        <v>19</v>
      </c>
      <c r="AP518" s="11"/>
      <c r="AQ518" s="11"/>
      <c r="AR518" s="11"/>
      <c r="AS518" s="11"/>
      <c r="AT518" s="20" t="str">
        <f>HYPERLINK("http://www.openstreetmap.org/?mlat=35.5264&amp;mlon=43.2377&amp;zoom=12#map=12/35.5264/43.2377","Maplink1")</f>
        <v>Maplink1</v>
      </c>
      <c r="AU518" s="20" t="str">
        <f>HYPERLINK("https://www.google.iq/maps/search/+35.5264,43.2377/@35.5264,43.2377,14z?hl=en","Maplink2")</f>
        <v>Maplink2</v>
      </c>
      <c r="AV518" s="20" t="str">
        <f>HYPERLINK("http://www.bing.com/maps/?lvl=14&amp;sty=h&amp;cp=35.5264~43.2377&amp;sp=point.35.5264_43.2377","Maplink3")</f>
        <v>Maplink3</v>
      </c>
    </row>
    <row r="519" spans="1:48" s="19" customFormat="1" x14ac:dyDescent="0.25">
      <c r="A519" s="9">
        <v>21349</v>
      </c>
      <c r="B519" s="10" t="s">
        <v>22</v>
      </c>
      <c r="C519" s="10" t="s">
        <v>939</v>
      </c>
      <c r="D519" s="10" t="s">
        <v>962</v>
      </c>
      <c r="E519" s="10" t="s">
        <v>963</v>
      </c>
      <c r="F519" s="10">
        <v>35.621825000000001</v>
      </c>
      <c r="G519" s="10">
        <v>43.246053000000003</v>
      </c>
      <c r="H519" s="11">
        <v>238</v>
      </c>
      <c r="I519" s="11">
        <v>1428</v>
      </c>
      <c r="J519" s="11"/>
      <c r="K519" s="11"/>
      <c r="L519" s="11"/>
      <c r="M519" s="11"/>
      <c r="N519" s="11"/>
      <c r="O519" s="11"/>
      <c r="P519" s="11">
        <v>35</v>
      </c>
      <c r="Q519" s="11"/>
      <c r="R519" s="11">
        <v>25</v>
      </c>
      <c r="S519" s="11"/>
      <c r="T519" s="11"/>
      <c r="U519" s="11"/>
      <c r="V519" s="11"/>
      <c r="W519" s="11"/>
      <c r="X519" s="11">
        <v>178</v>
      </c>
      <c r="Y519" s="11"/>
      <c r="Z519" s="11"/>
      <c r="AA519" s="11"/>
      <c r="AB519" s="11"/>
      <c r="AC519" s="11">
        <v>238</v>
      </c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>
        <v>238</v>
      </c>
      <c r="AO519" s="11"/>
      <c r="AP519" s="11"/>
      <c r="AQ519" s="11"/>
      <c r="AR519" s="11"/>
      <c r="AS519" s="11"/>
      <c r="AT519" s="20" t="str">
        <f>HYPERLINK("http://www.openstreetmap.org/?mlat=35.6218&amp;mlon=43.2461&amp;zoom=12#map=12/35.6218/43.2461","Maplink1")</f>
        <v>Maplink1</v>
      </c>
      <c r="AU519" s="20" t="str">
        <f>HYPERLINK("https://www.google.iq/maps/search/+35.6218,43.2461/@35.6218,43.2461,14z?hl=en","Maplink2")</f>
        <v>Maplink2</v>
      </c>
      <c r="AV519" s="20" t="str">
        <f>HYPERLINK("http://www.bing.com/maps/?lvl=14&amp;sty=h&amp;cp=35.6218~43.2461&amp;sp=point.35.6218_43.2461","Maplink3")</f>
        <v>Maplink3</v>
      </c>
    </row>
    <row r="520" spans="1:48" s="19" customFormat="1" x14ac:dyDescent="0.25">
      <c r="A520" s="9">
        <v>20395</v>
      </c>
      <c r="B520" s="10" t="s">
        <v>22</v>
      </c>
      <c r="C520" s="10" t="s">
        <v>939</v>
      </c>
      <c r="D520" s="10" t="s">
        <v>1175</v>
      </c>
      <c r="E520" s="10" t="s">
        <v>964</v>
      </c>
      <c r="F520" s="10">
        <v>35.538307000000003</v>
      </c>
      <c r="G520" s="10">
        <v>43.224873000000002</v>
      </c>
      <c r="H520" s="11">
        <v>235</v>
      </c>
      <c r="I520" s="11">
        <v>1410</v>
      </c>
      <c r="J520" s="11"/>
      <c r="K520" s="11"/>
      <c r="L520" s="11">
        <v>6</v>
      </c>
      <c r="M520" s="11">
        <v>10</v>
      </c>
      <c r="N520" s="11">
        <v>4</v>
      </c>
      <c r="O520" s="11"/>
      <c r="P520" s="11">
        <v>79</v>
      </c>
      <c r="Q520" s="11"/>
      <c r="R520" s="11">
        <v>36</v>
      </c>
      <c r="S520" s="11"/>
      <c r="T520" s="11"/>
      <c r="U520" s="11"/>
      <c r="V520" s="11"/>
      <c r="W520" s="11"/>
      <c r="X520" s="11">
        <v>98</v>
      </c>
      <c r="Y520" s="11">
        <v>2</v>
      </c>
      <c r="Z520" s="11"/>
      <c r="AA520" s="11"/>
      <c r="AB520" s="11"/>
      <c r="AC520" s="11">
        <v>235</v>
      </c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>
        <v>135</v>
      </c>
      <c r="AO520" s="11">
        <v>100</v>
      </c>
      <c r="AP520" s="11"/>
      <c r="AQ520" s="11"/>
      <c r="AR520" s="11"/>
      <c r="AS520" s="11"/>
      <c r="AT520" s="20" t="str">
        <f>HYPERLINK("http://www.openstreetmap.org/?mlat=35.5383&amp;mlon=43.2249&amp;zoom=12#map=12/35.5383/43.2249","Maplink1")</f>
        <v>Maplink1</v>
      </c>
      <c r="AU520" s="20" t="str">
        <f>HYPERLINK("https://www.google.iq/maps/search/+35.5383,43.2249/@35.5383,43.2249,14z?hl=en","Maplink2")</f>
        <v>Maplink2</v>
      </c>
      <c r="AV520" s="20" t="str">
        <f>HYPERLINK("http://www.bing.com/maps/?lvl=14&amp;sty=h&amp;cp=35.5383~43.2249&amp;sp=point.35.5383_43.2249","Maplink3")</f>
        <v>Maplink3</v>
      </c>
    </row>
    <row r="521" spans="1:48" s="19" customFormat="1" x14ac:dyDescent="0.25">
      <c r="A521" s="9">
        <v>21004</v>
      </c>
      <c r="B521" s="10" t="s">
        <v>22</v>
      </c>
      <c r="C521" s="10" t="s">
        <v>939</v>
      </c>
      <c r="D521" s="10" t="s">
        <v>125</v>
      </c>
      <c r="E521" s="10" t="s">
        <v>126</v>
      </c>
      <c r="F521" s="10">
        <v>35.530934000000002</v>
      </c>
      <c r="G521" s="10">
        <v>43.226177999999997</v>
      </c>
      <c r="H521" s="11">
        <v>430</v>
      </c>
      <c r="I521" s="11">
        <v>2580</v>
      </c>
      <c r="J521" s="11"/>
      <c r="K521" s="11"/>
      <c r="L521" s="11">
        <v>33</v>
      </c>
      <c r="M521" s="11">
        <v>10</v>
      </c>
      <c r="N521" s="11">
        <v>13</v>
      </c>
      <c r="O521" s="11"/>
      <c r="P521" s="11">
        <v>61</v>
      </c>
      <c r="Q521" s="11"/>
      <c r="R521" s="11">
        <v>103</v>
      </c>
      <c r="S521" s="11"/>
      <c r="T521" s="11"/>
      <c r="U521" s="11"/>
      <c r="V521" s="11"/>
      <c r="W521" s="11"/>
      <c r="X521" s="11">
        <v>204</v>
      </c>
      <c r="Y521" s="11">
        <v>6</v>
      </c>
      <c r="Z521" s="11"/>
      <c r="AA521" s="11"/>
      <c r="AB521" s="11"/>
      <c r="AC521" s="11">
        <v>300</v>
      </c>
      <c r="AD521" s="11"/>
      <c r="AE521" s="11"/>
      <c r="AF521" s="11">
        <v>20</v>
      </c>
      <c r="AG521" s="11"/>
      <c r="AH521" s="11"/>
      <c r="AI521" s="11">
        <v>110</v>
      </c>
      <c r="AJ521" s="11"/>
      <c r="AK521" s="11"/>
      <c r="AL521" s="11"/>
      <c r="AM521" s="11"/>
      <c r="AN521" s="11">
        <v>185</v>
      </c>
      <c r="AO521" s="11">
        <v>115</v>
      </c>
      <c r="AP521" s="11"/>
      <c r="AQ521" s="11"/>
      <c r="AR521" s="11">
        <v>20</v>
      </c>
      <c r="AS521" s="11">
        <v>110</v>
      </c>
      <c r="AT521" s="20" t="str">
        <f>HYPERLINK("http://www.openstreetmap.org/?mlat=35.5309&amp;mlon=43.2262&amp;zoom=12#map=12/35.5309/43.2262","Maplink1")</f>
        <v>Maplink1</v>
      </c>
      <c r="AU521" s="20" t="str">
        <f>HYPERLINK("https://www.google.iq/maps/search/+35.5309,43.2262/@35.5309,43.2262,14z?hl=en","Maplink2")</f>
        <v>Maplink2</v>
      </c>
      <c r="AV521" s="20" t="str">
        <f>HYPERLINK("http://www.bing.com/maps/?lvl=14&amp;sty=h&amp;cp=35.5309~43.2262&amp;sp=point.35.5309_43.2262","Maplink3")</f>
        <v>Maplink3</v>
      </c>
    </row>
    <row r="522" spans="1:48" s="19" customFormat="1" x14ac:dyDescent="0.25">
      <c r="A522" s="9">
        <v>24210</v>
      </c>
      <c r="B522" s="10" t="s">
        <v>22</v>
      </c>
      <c r="C522" s="10" t="s">
        <v>939</v>
      </c>
      <c r="D522" s="10" t="s">
        <v>965</v>
      </c>
      <c r="E522" s="10" t="s">
        <v>966</v>
      </c>
      <c r="F522" s="10">
        <v>35.518799999999999</v>
      </c>
      <c r="G522" s="10">
        <v>43.2271</v>
      </c>
      <c r="H522" s="11">
        <v>254</v>
      </c>
      <c r="I522" s="11">
        <v>1524</v>
      </c>
      <c r="J522" s="11"/>
      <c r="K522" s="11"/>
      <c r="L522" s="11">
        <v>10</v>
      </c>
      <c r="M522" s="11"/>
      <c r="N522" s="11"/>
      <c r="O522" s="11"/>
      <c r="P522" s="11">
        <v>77</v>
      </c>
      <c r="Q522" s="11"/>
      <c r="R522" s="11">
        <v>63</v>
      </c>
      <c r="S522" s="11"/>
      <c r="T522" s="11"/>
      <c r="U522" s="11"/>
      <c r="V522" s="11"/>
      <c r="W522" s="11"/>
      <c r="X522" s="11">
        <v>99</v>
      </c>
      <c r="Y522" s="11">
        <v>5</v>
      </c>
      <c r="Z522" s="11"/>
      <c r="AA522" s="11"/>
      <c r="AB522" s="11"/>
      <c r="AC522" s="11">
        <v>20</v>
      </c>
      <c r="AD522" s="11"/>
      <c r="AE522" s="11"/>
      <c r="AF522" s="11">
        <v>34</v>
      </c>
      <c r="AG522" s="11"/>
      <c r="AH522" s="11"/>
      <c r="AI522" s="11">
        <v>200</v>
      </c>
      <c r="AJ522" s="11"/>
      <c r="AK522" s="11"/>
      <c r="AL522" s="11"/>
      <c r="AM522" s="11"/>
      <c r="AN522" s="11">
        <v>90</v>
      </c>
      <c r="AO522" s="11">
        <v>87</v>
      </c>
      <c r="AP522" s="11"/>
      <c r="AQ522" s="11"/>
      <c r="AR522" s="11"/>
      <c r="AS522" s="11">
        <v>77</v>
      </c>
      <c r="AT522" s="20" t="str">
        <f>HYPERLINK("http://www.openstreetmap.org/?mlat=35.5188&amp;mlon=43.2271&amp;zoom=12#map=12/35.5188/43.2271","Maplink1")</f>
        <v>Maplink1</v>
      </c>
      <c r="AU522" s="20" t="str">
        <f>HYPERLINK("https://www.google.iq/maps/search/+35.5188,43.2271/@35.5188,43.2271,14z?hl=en","Maplink2")</f>
        <v>Maplink2</v>
      </c>
      <c r="AV522" s="20" t="str">
        <f>HYPERLINK("http://www.bing.com/maps/?lvl=14&amp;sty=h&amp;cp=35.5188~43.2271&amp;sp=point.35.5188_43.2271","Maplink3")</f>
        <v>Maplink3</v>
      </c>
    </row>
    <row r="523" spans="1:48" s="19" customFormat="1" x14ac:dyDescent="0.25">
      <c r="A523" s="9">
        <v>29654</v>
      </c>
      <c r="B523" s="10" t="s">
        <v>22</v>
      </c>
      <c r="C523" s="10" t="s">
        <v>939</v>
      </c>
      <c r="D523" s="10" t="s">
        <v>967</v>
      </c>
      <c r="E523" s="10" t="s">
        <v>968</v>
      </c>
      <c r="F523" s="10">
        <v>35.517139999999998</v>
      </c>
      <c r="G523" s="10">
        <v>43.235768</v>
      </c>
      <c r="H523" s="11">
        <v>160</v>
      </c>
      <c r="I523" s="11">
        <v>960</v>
      </c>
      <c r="J523" s="11"/>
      <c r="K523" s="11"/>
      <c r="L523" s="11"/>
      <c r="M523" s="11"/>
      <c r="N523" s="11"/>
      <c r="O523" s="11"/>
      <c r="P523" s="11">
        <v>40</v>
      </c>
      <c r="Q523" s="11"/>
      <c r="R523" s="11">
        <v>20</v>
      </c>
      <c r="S523" s="11"/>
      <c r="T523" s="11"/>
      <c r="U523" s="11"/>
      <c r="V523" s="11"/>
      <c r="W523" s="11"/>
      <c r="X523" s="11">
        <v>100</v>
      </c>
      <c r="Y523" s="11"/>
      <c r="Z523" s="11"/>
      <c r="AA523" s="11"/>
      <c r="AB523" s="11"/>
      <c r="AC523" s="11">
        <v>160</v>
      </c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>
        <v>100</v>
      </c>
      <c r="AO523" s="11">
        <v>60</v>
      </c>
      <c r="AP523" s="11"/>
      <c r="AQ523" s="11"/>
      <c r="AR523" s="11"/>
      <c r="AS523" s="11"/>
      <c r="AT523" s="20" t="str">
        <f>HYPERLINK("http://www.openstreetmap.org/?mlat=35.5171&amp;mlon=43.2358&amp;zoom=12#map=12/35.5171/43.2358","Maplink1")</f>
        <v>Maplink1</v>
      </c>
      <c r="AU523" s="20" t="str">
        <f>HYPERLINK("https://www.google.iq/maps/search/+35.5171,43.2358/@35.5171,43.2358,14z?hl=en","Maplink2")</f>
        <v>Maplink2</v>
      </c>
      <c r="AV523" s="20" t="str">
        <f>HYPERLINK("http://www.bing.com/maps/?lvl=14&amp;sty=h&amp;cp=35.5171~43.2358&amp;sp=point.35.5171_43.2358","Maplink3")</f>
        <v>Maplink3</v>
      </c>
    </row>
    <row r="524" spans="1:48" s="19" customFormat="1" x14ac:dyDescent="0.25">
      <c r="A524" s="9">
        <v>29652</v>
      </c>
      <c r="B524" s="10" t="s">
        <v>22</v>
      </c>
      <c r="C524" s="10" t="s">
        <v>939</v>
      </c>
      <c r="D524" s="10" t="s">
        <v>969</v>
      </c>
      <c r="E524" s="10" t="s">
        <v>528</v>
      </c>
      <c r="F524" s="10">
        <v>35.522385999999997</v>
      </c>
      <c r="G524" s="10">
        <v>43.228344</v>
      </c>
      <c r="H524" s="11">
        <v>113</v>
      </c>
      <c r="I524" s="11">
        <v>678</v>
      </c>
      <c r="J524" s="11"/>
      <c r="K524" s="11"/>
      <c r="L524" s="11"/>
      <c r="M524" s="11"/>
      <c r="N524" s="11"/>
      <c r="O524" s="11"/>
      <c r="P524" s="11">
        <v>31</v>
      </c>
      <c r="Q524" s="11"/>
      <c r="R524" s="11">
        <v>8</v>
      </c>
      <c r="S524" s="11"/>
      <c r="T524" s="11"/>
      <c r="U524" s="11"/>
      <c r="V524" s="11"/>
      <c r="W524" s="11"/>
      <c r="X524" s="11">
        <v>74</v>
      </c>
      <c r="Y524" s="11"/>
      <c r="Z524" s="11"/>
      <c r="AA524" s="11"/>
      <c r="AB524" s="11"/>
      <c r="AC524" s="11">
        <v>113</v>
      </c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>
        <v>113</v>
      </c>
      <c r="AO524" s="11"/>
      <c r="AP524" s="11"/>
      <c r="AQ524" s="11"/>
      <c r="AR524" s="11"/>
      <c r="AS524" s="11"/>
      <c r="AT524" s="20" t="str">
        <f>HYPERLINK("http://www.openstreetmap.org/?mlat=35.5224&amp;mlon=43.2283&amp;zoom=12#map=12/35.5224/43.2283","Maplink1")</f>
        <v>Maplink1</v>
      </c>
      <c r="AU524" s="20" t="str">
        <f>HYPERLINK("https://www.google.iq/maps/search/+35.5224,43.2283/@35.5224,43.2283,14z?hl=en","Maplink2")</f>
        <v>Maplink2</v>
      </c>
      <c r="AV524" s="20" t="str">
        <f>HYPERLINK("http://www.bing.com/maps/?lvl=14&amp;sty=h&amp;cp=35.5224~43.2283&amp;sp=point.35.5224_43.2283","Maplink3")</f>
        <v>Maplink3</v>
      </c>
    </row>
    <row r="525" spans="1:48" s="19" customFormat="1" x14ac:dyDescent="0.25">
      <c r="A525" s="9">
        <v>29655</v>
      </c>
      <c r="B525" s="10" t="s">
        <v>22</v>
      </c>
      <c r="C525" s="10" t="s">
        <v>939</v>
      </c>
      <c r="D525" s="10" t="s">
        <v>970</v>
      </c>
      <c r="E525" s="10" t="s">
        <v>971</v>
      </c>
      <c r="F525" s="10">
        <v>35.538479000000002</v>
      </c>
      <c r="G525" s="10">
        <v>43.226945999999998</v>
      </c>
      <c r="H525" s="11">
        <v>288</v>
      </c>
      <c r="I525" s="11">
        <v>1728</v>
      </c>
      <c r="J525" s="11"/>
      <c r="K525" s="11"/>
      <c r="L525" s="11">
        <v>4</v>
      </c>
      <c r="M525" s="11">
        <v>5</v>
      </c>
      <c r="N525" s="11"/>
      <c r="O525" s="11"/>
      <c r="P525" s="11">
        <v>55</v>
      </c>
      <c r="Q525" s="11"/>
      <c r="R525" s="11">
        <v>61</v>
      </c>
      <c r="S525" s="11"/>
      <c r="T525" s="11"/>
      <c r="U525" s="11"/>
      <c r="V525" s="11"/>
      <c r="W525" s="11"/>
      <c r="X525" s="11">
        <v>160</v>
      </c>
      <c r="Y525" s="11">
        <v>3</v>
      </c>
      <c r="Z525" s="11"/>
      <c r="AA525" s="11"/>
      <c r="AB525" s="11"/>
      <c r="AC525" s="11"/>
      <c r="AD525" s="11"/>
      <c r="AE525" s="11"/>
      <c r="AF525" s="11">
        <v>88</v>
      </c>
      <c r="AG525" s="11"/>
      <c r="AH525" s="11"/>
      <c r="AI525" s="11">
        <v>200</v>
      </c>
      <c r="AJ525" s="11"/>
      <c r="AK525" s="11"/>
      <c r="AL525" s="11"/>
      <c r="AM525" s="11"/>
      <c r="AN525" s="11"/>
      <c r="AO525" s="11">
        <v>110</v>
      </c>
      <c r="AP525" s="11"/>
      <c r="AQ525" s="11"/>
      <c r="AR525" s="11"/>
      <c r="AS525" s="11">
        <v>178</v>
      </c>
      <c r="AT525" s="20" t="str">
        <f>HYPERLINK("http://www.openstreetmap.org/?mlat=35.5385&amp;mlon=43.2269&amp;zoom=12#map=12/35.5385/43.2269","Maplink1")</f>
        <v>Maplink1</v>
      </c>
      <c r="AU525" s="20" t="str">
        <f>HYPERLINK("https://www.google.iq/maps/search/+35.5385,43.2269/@35.5385,43.2269,14z?hl=en","Maplink2")</f>
        <v>Maplink2</v>
      </c>
      <c r="AV525" s="20" t="str">
        <f>HYPERLINK("http://www.bing.com/maps/?lvl=14&amp;sty=h&amp;cp=35.5385~43.2269&amp;sp=point.35.5385_43.2269","Maplink3")</f>
        <v>Maplink3</v>
      </c>
    </row>
    <row r="526" spans="1:48" s="19" customFormat="1" x14ac:dyDescent="0.25">
      <c r="A526" s="9">
        <v>20403</v>
      </c>
      <c r="B526" s="10" t="s">
        <v>22</v>
      </c>
      <c r="C526" s="10" t="s">
        <v>939</v>
      </c>
      <c r="D526" s="10" t="s">
        <v>972</v>
      </c>
      <c r="E526" s="10" t="s">
        <v>973</v>
      </c>
      <c r="F526" s="10">
        <v>35.590428000000003</v>
      </c>
      <c r="G526" s="10">
        <v>43.239811000000003</v>
      </c>
      <c r="H526" s="11">
        <v>196</v>
      </c>
      <c r="I526" s="11">
        <v>1176</v>
      </c>
      <c r="J526" s="11"/>
      <c r="K526" s="11"/>
      <c r="L526" s="11"/>
      <c r="M526" s="11"/>
      <c r="N526" s="11"/>
      <c r="O526" s="11"/>
      <c r="P526" s="11">
        <v>16</v>
      </c>
      <c r="Q526" s="11"/>
      <c r="R526" s="11">
        <v>15</v>
      </c>
      <c r="S526" s="11"/>
      <c r="T526" s="11"/>
      <c r="U526" s="11"/>
      <c r="V526" s="11"/>
      <c r="W526" s="11"/>
      <c r="X526" s="11">
        <v>165</v>
      </c>
      <c r="Y526" s="11"/>
      <c r="Z526" s="11"/>
      <c r="AA526" s="11"/>
      <c r="AB526" s="11"/>
      <c r="AC526" s="11">
        <v>196</v>
      </c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>
        <v>92</v>
      </c>
      <c r="AO526" s="11">
        <v>104</v>
      </c>
      <c r="AP526" s="11"/>
      <c r="AQ526" s="11"/>
      <c r="AR526" s="11"/>
      <c r="AS526" s="11"/>
      <c r="AT526" s="20" t="str">
        <f>HYPERLINK("http://www.openstreetmap.org/?mlat=35.5904&amp;mlon=43.2398&amp;zoom=12#map=12/35.5904/43.2398","Maplink1")</f>
        <v>Maplink1</v>
      </c>
      <c r="AU526" s="20" t="str">
        <f>HYPERLINK("https://www.google.iq/maps/search/+35.5904,43.2398/@35.5904,43.2398,14z?hl=en","Maplink2")</f>
        <v>Maplink2</v>
      </c>
      <c r="AV526" s="20" t="str">
        <f>HYPERLINK("http://www.bing.com/maps/?lvl=14&amp;sty=h&amp;cp=35.5904~43.2398&amp;sp=point.35.5904_43.2398","Maplink3")</f>
        <v>Maplink3</v>
      </c>
    </row>
    <row r="527" spans="1:48" s="19" customFormat="1" x14ac:dyDescent="0.25">
      <c r="A527" s="9">
        <v>20991</v>
      </c>
      <c r="B527" s="10" t="s">
        <v>22</v>
      </c>
      <c r="C527" s="10" t="s">
        <v>939</v>
      </c>
      <c r="D527" s="10" t="s">
        <v>974</v>
      </c>
      <c r="E527" s="10" t="s">
        <v>975</v>
      </c>
      <c r="F527" s="10">
        <v>35.468224999999997</v>
      </c>
      <c r="G527" s="10">
        <v>43.244653</v>
      </c>
      <c r="H527" s="11">
        <v>308</v>
      </c>
      <c r="I527" s="11">
        <v>1848</v>
      </c>
      <c r="J527" s="11"/>
      <c r="K527" s="11"/>
      <c r="L527" s="11">
        <v>12</v>
      </c>
      <c r="M527" s="11">
        <v>14</v>
      </c>
      <c r="N527" s="11"/>
      <c r="O527" s="11"/>
      <c r="P527" s="11">
        <v>53</v>
      </c>
      <c r="Q527" s="11"/>
      <c r="R527" s="11">
        <v>25</v>
      </c>
      <c r="S527" s="11"/>
      <c r="T527" s="11"/>
      <c r="U527" s="11"/>
      <c r="V527" s="11"/>
      <c r="W527" s="11"/>
      <c r="X527" s="11">
        <v>189</v>
      </c>
      <c r="Y527" s="11">
        <v>15</v>
      </c>
      <c r="Z527" s="11"/>
      <c r="AA527" s="11"/>
      <c r="AB527" s="11"/>
      <c r="AC527" s="11">
        <v>308</v>
      </c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>
        <v>208</v>
      </c>
      <c r="AO527" s="11">
        <v>100</v>
      </c>
      <c r="AP527" s="11"/>
      <c r="AQ527" s="11"/>
      <c r="AR527" s="11"/>
      <c r="AS527" s="11"/>
      <c r="AT527" s="20" t="str">
        <f>HYPERLINK("http://www.openstreetmap.org/?mlat=35.4682&amp;mlon=43.2447&amp;zoom=12#map=12/35.4682/43.2447","Maplink1")</f>
        <v>Maplink1</v>
      </c>
      <c r="AU527" s="20" t="str">
        <f>HYPERLINK("https://www.google.iq/maps/search/+35.4682,43.2447/@35.4682,43.2447,14z?hl=en","Maplink2")</f>
        <v>Maplink2</v>
      </c>
      <c r="AV527" s="20" t="str">
        <f>HYPERLINK("http://www.bing.com/maps/?lvl=14&amp;sty=h&amp;cp=35.4682~43.2447&amp;sp=point.35.4682_43.2447","Maplink3")</f>
        <v>Maplink3</v>
      </c>
    </row>
    <row r="528" spans="1:48" s="19" customFormat="1" x14ac:dyDescent="0.25">
      <c r="A528" s="9">
        <v>21006</v>
      </c>
      <c r="B528" s="10" t="s">
        <v>22</v>
      </c>
      <c r="C528" s="10" t="s">
        <v>939</v>
      </c>
      <c r="D528" s="10" t="s">
        <v>976</v>
      </c>
      <c r="E528" s="10" t="s">
        <v>977</v>
      </c>
      <c r="F528" s="10">
        <v>35.488326999999998</v>
      </c>
      <c r="G528" s="10">
        <v>43.227102000000002</v>
      </c>
      <c r="H528" s="11">
        <v>838</v>
      </c>
      <c r="I528" s="11">
        <v>5028</v>
      </c>
      <c r="J528" s="11"/>
      <c r="K528" s="11"/>
      <c r="L528" s="11">
        <v>8</v>
      </c>
      <c r="M528" s="11">
        <v>7</v>
      </c>
      <c r="N528" s="11"/>
      <c r="O528" s="11"/>
      <c r="P528" s="11">
        <v>150</v>
      </c>
      <c r="Q528" s="11"/>
      <c r="R528" s="11">
        <v>186</v>
      </c>
      <c r="S528" s="11"/>
      <c r="T528" s="11"/>
      <c r="U528" s="11"/>
      <c r="V528" s="11"/>
      <c r="W528" s="11"/>
      <c r="X528" s="11">
        <v>472</v>
      </c>
      <c r="Y528" s="11">
        <v>15</v>
      </c>
      <c r="Z528" s="11"/>
      <c r="AA528" s="11"/>
      <c r="AB528" s="11"/>
      <c r="AC528" s="11">
        <v>838</v>
      </c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>
        <v>518</v>
      </c>
      <c r="AO528" s="11">
        <v>320</v>
      </c>
      <c r="AP528" s="11"/>
      <c r="AQ528" s="11"/>
      <c r="AR528" s="11"/>
      <c r="AS528" s="11"/>
      <c r="AT528" s="20" t="str">
        <f>HYPERLINK("http://www.openstreetmap.org/?mlat=35.4883&amp;mlon=43.2271&amp;zoom=12#map=12/35.4883/43.2271","Maplink1")</f>
        <v>Maplink1</v>
      </c>
      <c r="AU528" s="20" t="str">
        <f>HYPERLINK("https://www.google.iq/maps/search/+35.4883,43.2271/@35.4883,43.2271,14z?hl=en","Maplink2")</f>
        <v>Maplink2</v>
      </c>
      <c r="AV528" s="20" t="str">
        <f>HYPERLINK("http://www.bing.com/maps/?lvl=14&amp;sty=h&amp;cp=35.4883~43.2271&amp;sp=point.35.4883_43.2271","Maplink3")</f>
        <v>Maplink3</v>
      </c>
    </row>
    <row r="529" spans="1:48" s="19" customFormat="1" x14ac:dyDescent="0.25">
      <c r="A529" s="9">
        <v>29632</v>
      </c>
      <c r="B529" s="10" t="s">
        <v>22</v>
      </c>
      <c r="C529" s="10" t="s">
        <v>978</v>
      </c>
      <c r="D529" s="10" t="s">
        <v>979</v>
      </c>
      <c r="E529" s="10" t="s">
        <v>980</v>
      </c>
      <c r="F529" s="10">
        <v>34.84794823</v>
      </c>
      <c r="G529" s="10">
        <v>43.4878</v>
      </c>
      <c r="H529" s="11">
        <v>300</v>
      </c>
      <c r="I529" s="11">
        <v>1800</v>
      </c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>
        <v>300</v>
      </c>
      <c r="Y529" s="11"/>
      <c r="Z529" s="11"/>
      <c r="AA529" s="11"/>
      <c r="AB529" s="11"/>
      <c r="AC529" s="11">
        <v>300</v>
      </c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>
        <v>200</v>
      </c>
      <c r="AO529" s="11">
        <v>100</v>
      </c>
      <c r="AP529" s="11"/>
      <c r="AQ529" s="11"/>
      <c r="AR529" s="11"/>
      <c r="AS529" s="11"/>
      <c r="AT529" s="20" t="str">
        <f>HYPERLINK("http://www.openstreetmap.org/?mlat=34.8479&amp;mlon=43.4878&amp;zoom=12#map=12/34.8479/43.4878","Maplink1")</f>
        <v>Maplink1</v>
      </c>
      <c r="AU529" s="20" t="str">
        <f>HYPERLINK("https://www.google.iq/maps/search/+34.8479,43.4878/@34.8479,43.4878,14z?hl=en","Maplink2")</f>
        <v>Maplink2</v>
      </c>
      <c r="AV529" s="20" t="str">
        <f>HYPERLINK("http://www.bing.com/maps/?lvl=14&amp;sty=h&amp;cp=34.8479~43.4878&amp;sp=point.34.8479_43.4878","Maplink3")</f>
        <v>Maplink3</v>
      </c>
    </row>
    <row r="530" spans="1:48" s="19" customFormat="1" x14ac:dyDescent="0.25">
      <c r="A530" s="9">
        <v>23388</v>
      </c>
      <c r="B530" s="10" t="s">
        <v>22</v>
      </c>
      <c r="C530" s="10" t="s">
        <v>978</v>
      </c>
      <c r="D530" s="10" t="s">
        <v>981</v>
      </c>
      <c r="E530" s="10" t="s">
        <v>982</v>
      </c>
      <c r="F530" s="10">
        <v>34.768366739999998</v>
      </c>
      <c r="G530" s="10">
        <v>43.59085838</v>
      </c>
      <c r="H530" s="11">
        <v>284</v>
      </c>
      <c r="I530" s="11">
        <v>1704</v>
      </c>
      <c r="J530" s="11"/>
      <c r="K530" s="11"/>
      <c r="L530" s="11">
        <v>3</v>
      </c>
      <c r="M530" s="11"/>
      <c r="N530" s="11"/>
      <c r="O530" s="11"/>
      <c r="P530" s="11">
        <v>50</v>
      </c>
      <c r="Q530" s="11"/>
      <c r="R530" s="11">
        <v>167</v>
      </c>
      <c r="S530" s="11"/>
      <c r="T530" s="11"/>
      <c r="U530" s="11"/>
      <c r="V530" s="11"/>
      <c r="W530" s="11"/>
      <c r="X530" s="11">
        <v>14</v>
      </c>
      <c r="Y530" s="11">
        <v>50</v>
      </c>
      <c r="Z530" s="11"/>
      <c r="AA530" s="11"/>
      <c r="AB530" s="11"/>
      <c r="AC530" s="11">
        <v>264</v>
      </c>
      <c r="AD530" s="11"/>
      <c r="AE530" s="11"/>
      <c r="AF530" s="11"/>
      <c r="AG530" s="11"/>
      <c r="AH530" s="11"/>
      <c r="AI530" s="11">
        <v>20</v>
      </c>
      <c r="AJ530" s="11"/>
      <c r="AK530" s="11"/>
      <c r="AL530" s="11"/>
      <c r="AM530" s="11"/>
      <c r="AN530" s="11">
        <v>270</v>
      </c>
      <c r="AO530" s="11"/>
      <c r="AP530" s="11">
        <v>14</v>
      </c>
      <c r="AQ530" s="11"/>
      <c r="AR530" s="11"/>
      <c r="AS530" s="11"/>
      <c r="AT530" s="20" t="str">
        <f>HYPERLINK("http://www.openstreetmap.org/?mlat=34.7684&amp;mlon=43.5909&amp;zoom=12#map=12/34.7684/43.5909","Maplink1")</f>
        <v>Maplink1</v>
      </c>
      <c r="AU530" s="20" t="str">
        <f>HYPERLINK("https://www.google.iq/maps/search/+34.7684,43.5909/@34.7684,43.5909,14z?hl=en","Maplink2")</f>
        <v>Maplink2</v>
      </c>
      <c r="AV530" s="20" t="str">
        <f>HYPERLINK("http://www.bing.com/maps/?lvl=14&amp;sty=h&amp;cp=34.7684~43.5909&amp;sp=point.34.7684_43.5909","Maplink3")</f>
        <v>Maplink3</v>
      </c>
    </row>
    <row r="531" spans="1:48" s="19" customFormat="1" x14ac:dyDescent="0.25">
      <c r="A531" s="9">
        <v>25921</v>
      </c>
      <c r="B531" s="10" t="s">
        <v>22</v>
      </c>
      <c r="C531" s="10" t="s">
        <v>978</v>
      </c>
      <c r="D531" s="10" t="s">
        <v>983</v>
      </c>
      <c r="E531" s="10" t="s">
        <v>1176</v>
      </c>
      <c r="F531" s="10">
        <v>34.84794823</v>
      </c>
      <c r="G531" s="10">
        <v>43.51412586</v>
      </c>
      <c r="H531" s="11">
        <v>1931</v>
      </c>
      <c r="I531" s="11">
        <v>11586</v>
      </c>
      <c r="J531" s="11"/>
      <c r="K531" s="11"/>
      <c r="L531" s="11">
        <v>5</v>
      </c>
      <c r="M531" s="11">
        <v>5</v>
      </c>
      <c r="N531" s="11"/>
      <c r="O531" s="11"/>
      <c r="P531" s="11">
        <v>1908</v>
      </c>
      <c r="Q531" s="11"/>
      <c r="R531" s="11">
        <v>10</v>
      </c>
      <c r="S531" s="11"/>
      <c r="T531" s="11"/>
      <c r="U531" s="11"/>
      <c r="V531" s="11"/>
      <c r="W531" s="11"/>
      <c r="X531" s="11">
        <v>3</v>
      </c>
      <c r="Y531" s="11"/>
      <c r="Z531" s="11"/>
      <c r="AA531" s="11"/>
      <c r="AB531" s="11"/>
      <c r="AC531" s="11">
        <v>1920</v>
      </c>
      <c r="AD531" s="11">
        <v>11</v>
      </c>
      <c r="AE531" s="11"/>
      <c r="AF531" s="11"/>
      <c r="AG531" s="11"/>
      <c r="AH531" s="11"/>
      <c r="AI531" s="11"/>
      <c r="AJ531" s="11"/>
      <c r="AK531" s="11"/>
      <c r="AL531" s="11"/>
      <c r="AM531" s="11">
        <v>90</v>
      </c>
      <c r="AN531" s="11">
        <v>1750</v>
      </c>
      <c r="AO531" s="11">
        <v>91</v>
      </c>
      <c r="AP531" s="11"/>
      <c r="AQ531" s="11"/>
      <c r="AR531" s="11"/>
      <c r="AS531" s="11"/>
      <c r="AT531" s="20" t="str">
        <f>HYPERLINK("http://www.openstreetmap.org/?mlat=34.8479&amp;mlon=43.5141&amp;zoom=12#map=12/34.8479/43.5141","Maplink1")</f>
        <v>Maplink1</v>
      </c>
      <c r="AU531" s="20" t="str">
        <f>HYPERLINK("https://www.google.iq/maps/search/+34.8479,43.5141/@34.8479,43.5141,14z?hl=en","Maplink2")</f>
        <v>Maplink2</v>
      </c>
      <c r="AV531" s="20" t="str">
        <f>HYPERLINK("http://www.bing.com/maps/?lvl=14&amp;sty=h&amp;cp=34.8479~43.5141&amp;sp=point.34.8479_43.5141","Maplink3")</f>
        <v>Maplink3</v>
      </c>
    </row>
    <row r="532" spans="1:48" s="19" customFormat="1" x14ac:dyDescent="0.25">
      <c r="A532" s="9">
        <v>20655</v>
      </c>
      <c r="B532" s="10" t="s">
        <v>22</v>
      </c>
      <c r="C532" s="10" t="s">
        <v>978</v>
      </c>
      <c r="D532" s="10" t="s">
        <v>984</v>
      </c>
      <c r="E532" s="10" t="s">
        <v>985</v>
      </c>
      <c r="F532" s="10">
        <v>34.886780000000002</v>
      </c>
      <c r="G532" s="10">
        <v>43.488549999999996</v>
      </c>
      <c r="H532" s="11">
        <v>260</v>
      </c>
      <c r="I532" s="11">
        <v>1560</v>
      </c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>
        <v>260</v>
      </c>
      <c r="Y532" s="11"/>
      <c r="Z532" s="11"/>
      <c r="AA532" s="11"/>
      <c r="AB532" s="11"/>
      <c r="AC532" s="11">
        <v>260</v>
      </c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>
        <v>260</v>
      </c>
      <c r="AO532" s="11"/>
      <c r="AP532" s="11"/>
      <c r="AQ532" s="11"/>
      <c r="AR532" s="11"/>
      <c r="AS532" s="11"/>
      <c r="AT532" s="20" t="str">
        <f>HYPERLINK("http://www.openstreetmap.org/?mlat=34.8868&amp;mlon=43.4885&amp;zoom=12#map=12/34.8868/43.4885","Maplink1")</f>
        <v>Maplink1</v>
      </c>
      <c r="AU532" s="20" t="str">
        <f>HYPERLINK("https://www.google.iq/maps/search/+34.8868,43.4885/@34.8868,43.4885,14z?hl=en","Maplink2")</f>
        <v>Maplink2</v>
      </c>
      <c r="AV532" s="20" t="str">
        <f>HYPERLINK("http://www.bing.com/maps/?lvl=14&amp;sty=h&amp;cp=34.8868~43.4885&amp;sp=point.34.8868_43.4885","Maplink3")</f>
        <v>Maplink3</v>
      </c>
    </row>
    <row r="533" spans="1:48" s="19" customFormat="1" x14ac:dyDescent="0.25">
      <c r="A533" s="9">
        <v>25706</v>
      </c>
      <c r="B533" s="10" t="s">
        <v>22</v>
      </c>
      <c r="C533" s="10" t="s">
        <v>978</v>
      </c>
      <c r="D533" s="10" t="s">
        <v>1177</v>
      </c>
      <c r="E533" s="10" t="s">
        <v>1178</v>
      </c>
      <c r="F533" s="10">
        <v>34.825642250000001</v>
      </c>
      <c r="G533" s="10">
        <v>43.546981529999996</v>
      </c>
      <c r="H533" s="11">
        <v>1276</v>
      </c>
      <c r="I533" s="11">
        <v>7656</v>
      </c>
      <c r="J533" s="11"/>
      <c r="K533" s="11"/>
      <c r="L533" s="11">
        <v>2</v>
      </c>
      <c r="M533" s="11"/>
      <c r="N533" s="11">
        <v>3</v>
      </c>
      <c r="O533" s="11"/>
      <c r="P533" s="11">
        <v>931</v>
      </c>
      <c r="Q533" s="11"/>
      <c r="R533" s="11">
        <v>50</v>
      </c>
      <c r="S533" s="11"/>
      <c r="T533" s="11"/>
      <c r="U533" s="11"/>
      <c r="V533" s="11"/>
      <c r="W533" s="11"/>
      <c r="X533" s="11">
        <v>140</v>
      </c>
      <c r="Y533" s="11">
        <v>150</v>
      </c>
      <c r="Z533" s="11"/>
      <c r="AA533" s="11"/>
      <c r="AB533" s="11"/>
      <c r="AC533" s="11">
        <v>1150</v>
      </c>
      <c r="AD533" s="11">
        <v>30</v>
      </c>
      <c r="AE533" s="11"/>
      <c r="AF533" s="11"/>
      <c r="AG533" s="11"/>
      <c r="AH533" s="11"/>
      <c r="AI533" s="11">
        <v>96</v>
      </c>
      <c r="AJ533" s="11"/>
      <c r="AK533" s="11"/>
      <c r="AL533" s="11"/>
      <c r="AM533" s="11">
        <v>15</v>
      </c>
      <c r="AN533" s="11">
        <v>1150</v>
      </c>
      <c r="AO533" s="11">
        <v>111</v>
      </c>
      <c r="AP533" s="11"/>
      <c r="AQ533" s="11"/>
      <c r="AR533" s="11"/>
      <c r="AS533" s="11"/>
      <c r="AT533" s="20" t="str">
        <f>HYPERLINK("http://www.openstreetmap.org/?mlat=34.8256&amp;mlon=43.547&amp;zoom=12#map=12/34.8256/43.547","Maplink1")</f>
        <v>Maplink1</v>
      </c>
      <c r="AU533" s="20" t="str">
        <f>HYPERLINK("https://www.google.iq/maps/search/+34.8256,43.547/@34.8256,43.547,14z?hl=en","Maplink2")</f>
        <v>Maplink2</v>
      </c>
      <c r="AV533" s="20" t="str">
        <f>HYPERLINK("http://www.bing.com/maps/?lvl=14&amp;sty=h&amp;cp=34.8256~43.547&amp;sp=point.34.8256_43.547","Maplink3")</f>
        <v>Maplink3</v>
      </c>
    </row>
    <row r="534" spans="1:48" s="19" customFormat="1" x14ac:dyDescent="0.25">
      <c r="A534" s="9">
        <v>22813</v>
      </c>
      <c r="B534" s="10" t="s">
        <v>22</v>
      </c>
      <c r="C534" s="10" t="s">
        <v>978</v>
      </c>
      <c r="D534" s="10" t="s">
        <v>986</v>
      </c>
      <c r="E534" s="10" t="s">
        <v>1179</v>
      </c>
      <c r="F534" s="10">
        <v>34.86265641</v>
      </c>
      <c r="G534" s="10">
        <v>43.507938340000003</v>
      </c>
      <c r="H534" s="11">
        <v>650</v>
      </c>
      <c r="I534" s="11">
        <v>3900</v>
      </c>
      <c r="J534" s="11"/>
      <c r="K534" s="11"/>
      <c r="L534" s="11"/>
      <c r="M534" s="11"/>
      <c r="N534" s="11"/>
      <c r="O534" s="11"/>
      <c r="P534" s="11">
        <v>150</v>
      </c>
      <c r="Q534" s="11"/>
      <c r="R534" s="11">
        <v>300</v>
      </c>
      <c r="S534" s="11"/>
      <c r="T534" s="11"/>
      <c r="U534" s="11"/>
      <c r="V534" s="11"/>
      <c r="W534" s="11"/>
      <c r="X534" s="11">
        <v>200</v>
      </c>
      <c r="Y534" s="11"/>
      <c r="Z534" s="11"/>
      <c r="AA534" s="11"/>
      <c r="AB534" s="11"/>
      <c r="AC534" s="11">
        <v>400</v>
      </c>
      <c r="AD534" s="11">
        <v>75</v>
      </c>
      <c r="AE534" s="11"/>
      <c r="AF534" s="11"/>
      <c r="AG534" s="11"/>
      <c r="AH534" s="11"/>
      <c r="AI534" s="11">
        <v>175</v>
      </c>
      <c r="AJ534" s="11"/>
      <c r="AK534" s="11"/>
      <c r="AL534" s="11"/>
      <c r="AM534" s="11">
        <v>350</v>
      </c>
      <c r="AN534" s="11">
        <v>300</v>
      </c>
      <c r="AO534" s="11"/>
      <c r="AP534" s="11"/>
      <c r="AQ534" s="11"/>
      <c r="AR534" s="11"/>
      <c r="AS534" s="11"/>
      <c r="AT534" s="20" t="str">
        <f>HYPERLINK("http://www.openstreetmap.org/?mlat=34.8627&amp;mlon=43.5079&amp;zoom=12#map=12/34.8627/43.5079","Maplink1")</f>
        <v>Maplink1</v>
      </c>
      <c r="AU534" s="20" t="str">
        <f>HYPERLINK("https://www.google.iq/maps/search/+34.8627,43.5079/@34.8627,43.5079,14z?hl=en","Maplink2")</f>
        <v>Maplink2</v>
      </c>
      <c r="AV534" s="20" t="str">
        <f>HYPERLINK("http://www.bing.com/maps/?lvl=14&amp;sty=h&amp;cp=34.8627~43.5079&amp;sp=point.34.8627_43.5079","Maplink3")</f>
        <v>Maplink3</v>
      </c>
    </row>
    <row r="535" spans="1:48" s="19" customFormat="1" x14ac:dyDescent="0.25">
      <c r="A535" s="9">
        <v>25742</v>
      </c>
      <c r="B535" s="10" t="s">
        <v>22</v>
      </c>
      <c r="C535" s="10" t="s">
        <v>987</v>
      </c>
      <c r="D535" s="10" t="s">
        <v>988</v>
      </c>
      <c r="E535" s="10" t="s">
        <v>989</v>
      </c>
      <c r="F535" s="10">
        <v>34.032523079999997</v>
      </c>
      <c r="G535" s="10">
        <v>44.231025440000003</v>
      </c>
      <c r="H535" s="11">
        <v>410</v>
      </c>
      <c r="I535" s="11">
        <v>2460</v>
      </c>
      <c r="J535" s="11"/>
      <c r="K535" s="11"/>
      <c r="L535" s="11">
        <v>386</v>
      </c>
      <c r="M535" s="11"/>
      <c r="N535" s="11"/>
      <c r="O535" s="11"/>
      <c r="P535" s="11"/>
      <c r="Q535" s="11"/>
      <c r="R535" s="11">
        <v>24</v>
      </c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>
        <v>410</v>
      </c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>
        <v>410</v>
      </c>
      <c r="AO535" s="11"/>
      <c r="AP535" s="11"/>
      <c r="AQ535" s="11"/>
      <c r="AR535" s="11"/>
      <c r="AS535" s="11"/>
      <c r="AT535" s="20" t="str">
        <f>HYPERLINK("http://www.openstreetmap.org/?mlat=34.0325&amp;mlon=44.231&amp;zoom=12#map=12/34.0325/44.231","Maplink1")</f>
        <v>Maplink1</v>
      </c>
      <c r="AU535" s="20" t="str">
        <f>HYPERLINK("https://www.google.iq/maps/search/+34.0325,44.231/@34.0325,44.231,14z?hl=en","Maplink2")</f>
        <v>Maplink2</v>
      </c>
      <c r="AV535" s="20" t="str">
        <f>HYPERLINK("http://www.bing.com/maps/?lvl=14&amp;sty=h&amp;cp=34.0325~44.231&amp;sp=point.34.0325_44.231","Maplink3")</f>
        <v>Maplink3</v>
      </c>
    </row>
    <row r="536" spans="1:48" s="19" customFormat="1" x14ac:dyDescent="0.25">
      <c r="A536" s="9">
        <v>20770</v>
      </c>
      <c r="B536" s="10" t="s">
        <v>22</v>
      </c>
      <c r="C536" s="10" t="s">
        <v>987</v>
      </c>
      <c r="D536" s="10" t="s">
        <v>990</v>
      </c>
      <c r="E536" s="10" t="s">
        <v>991</v>
      </c>
      <c r="F536" s="10">
        <v>34.046609420000003</v>
      </c>
      <c r="G536" s="10">
        <v>44.219951469999998</v>
      </c>
      <c r="H536" s="11">
        <v>388</v>
      </c>
      <c r="I536" s="11">
        <v>2328</v>
      </c>
      <c r="J536" s="11"/>
      <c r="K536" s="11"/>
      <c r="L536" s="11">
        <v>221</v>
      </c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>
        <v>167</v>
      </c>
      <c r="Y536" s="11"/>
      <c r="Z536" s="11"/>
      <c r="AA536" s="11"/>
      <c r="AB536" s="11"/>
      <c r="AC536" s="11">
        <v>388</v>
      </c>
      <c r="AD536" s="11"/>
      <c r="AE536" s="11"/>
      <c r="AF536" s="11"/>
      <c r="AG536" s="11"/>
      <c r="AH536" s="11"/>
      <c r="AI536" s="11"/>
      <c r="AJ536" s="11"/>
      <c r="AK536" s="11"/>
      <c r="AL536" s="11"/>
      <c r="AM536" s="11">
        <v>186</v>
      </c>
      <c r="AN536" s="11">
        <v>202</v>
      </c>
      <c r="AO536" s="11"/>
      <c r="AP536" s="11"/>
      <c r="AQ536" s="11"/>
      <c r="AR536" s="11"/>
      <c r="AS536" s="11"/>
      <c r="AT536" s="20" t="str">
        <f>HYPERLINK("http://www.openstreetmap.org/?mlat=34.0466&amp;mlon=44.22&amp;zoom=12#map=12/34.0466/44.22","Maplink1")</f>
        <v>Maplink1</v>
      </c>
      <c r="AU536" s="20" t="str">
        <f>HYPERLINK("https://www.google.iq/maps/search/+34.0466,44.22/@34.0466,44.22,14z?hl=en","Maplink2")</f>
        <v>Maplink2</v>
      </c>
      <c r="AV536" s="20" t="str">
        <f>HYPERLINK("http://www.bing.com/maps/?lvl=14&amp;sty=h&amp;cp=34.0466~44.22&amp;sp=point.34.0466_44.22","Maplink3")</f>
        <v>Maplink3</v>
      </c>
    </row>
    <row r="537" spans="1:48" s="19" customFormat="1" x14ac:dyDescent="0.25">
      <c r="A537" s="9">
        <v>20921</v>
      </c>
      <c r="B537" s="10" t="s">
        <v>22</v>
      </c>
      <c r="C537" s="10" t="s">
        <v>987</v>
      </c>
      <c r="D537" s="10" t="s">
        <v>1180</v>
      </c>
      <c r="E537" s="10" t="s">
        <v>992</v>
      </c>
      <c r="F537" s="10">
        <v>34.033575190000001</v>
      </c>
      <c r="G537" s="10">
        <v>44.205532410000004</v>
      </c>
      <c r="H537" s="11">
        <v>475</v>
      </c>
      <c r="I537" s="11">
        <v>2850</v>
      </c>
      <c r="J537" s="11"/>
      <c r="K537" s="11"/>
      <c r="L537" s="11">
        <v>200</v>
      </c>
      <c r="M537" s="11"/>
      <c r="N537" s="11"/>
      <c r="O537" s="11"/>
      <c r="P537" s="11">
        <v>83</v>
      </c>
      <c r="Q537" s="11"/>
      <c r="R537" s="11">
        <v>70</v>
      </c>
      <c r="S537" s="11"/>
      <c r="T537" s="11"/>
      <c r="U537" s="11"/>
      <c r="V537" s="11"/>
      <c r="W537" s="11"/>
      <c r="X537" s="11">
        <v>113</v>
      </c>
      <c r="Y537" s="11">
        <v>9</v>
      </c>
      <c r="Z537" s="11"/>
      <c r="AA537" s="11"/>
      <c r="AB537" s="11"/>
      <c r="AC537" s="11">
        <v>437</v>
      </c>
      <c r="AD537" s="11"/>
      <c r="AE537" s="11"/>
      <c r="AF537" s="11"/>
      <c r="AG537" s="11"/>
      <c r="AH537" s="11"/>
      <c r="AI537" s="11">
        <v>38</v>
      </c>
      <c r="AJ537" s="11"/>
      <c r="AK537" s="11"/>
      <c r="AL537" s="11"/>
      <c r="AM537" s="11"/>
      <c r="AN537" s="11">
        <v>415</v>
      </c>
      <c r="AO537" s="11">
        <v>60</v>
      </c>
      <c r="AP537" s="11"/>
      <c r="AQ537" s="11"/>
      <c r="AR537" s="11"/>
      <c r="AS537" s="11"/>
      <c r="AT537" s="20" t="str">
        <f>HYPERLINK("http://www.openstreetmap.org/?mlat=34.0336&amp;mlon=44.2055&amp;zoom=12#map=12/34.0336/44.2055","Maplink1")</f>
        <v>Maplink1</v>
      </c>
      <c r="AU537" s="20" t="str">
        <f>HYPERLINK("https://www.google.iq/maps/search/+34.0336,44.2055/@34.0336,44.2055,14z?hl=en","Maplink2")</f>
        <v>Maplink2</v>
      </c>
      <c r="AV537" s="20" t="str">
        <f>HYPERLINK("http://www.bing.com/maps/?lvl=14&amp;sty=h&amp;cp=34.0336~44.2055&amp;sp=point.34.0336_44.2055","Maplink3")</f>
        <v>Maplink3</v>
      </c>
    </row>
    <row r="538" spans="1:48" s="19" customFormat="1" x14ac:dyDescent="0.25">
      <c r="A538" s="9">
        <v>20767</v>
      </c>
      <c r="B538" s="10" t="s">
        <v>22</v>
      </c>
      <c r="C538" s="10" t="s">
        <v>987</v>
      </c>
      <c r="D538" s="10" t="s">
        <v>993</v>
      </c>
      <c r="E538" s="10" t="s">
        <v>994</v>
      </c>
      <c r="F538" s="10">
        <v>34.058075340000002</v>
      </c>
      <c r="G538" s="10">
        <v>44.217821950000001</v>
      </c>
      <c r="H538" s="11">
        <v>450</v>
      </c>
      <c r="I538" s="11">
        <v>2700</v>
      </c>
      <c r="J538" s="11"/>
      <c r="K538" s="11"/>
      <c r="L538" s="11">
        <v>123</v>
      </c>
      <c r="M538" s="11"/>
      <c r="N538" s="11"/>
      <c r="O538" s="11"/>
      <c r="P538" s="11">
        <v>14</v>
      </c>
      <c r="Q538" s="11"/>
      <c r="R538" s="11">
        <v>100</v>
      </c>
      <c r="S538" s="11"/>
      <c r="T538" s="11"/>
      <c r="U538" s="11"/>
      <c r="V538" s="11"/>
      <c r="W538" s="11"/>
      <c r="X538" s="11">
        <v>213</v>
      </c>
      <c r="Y538" s="11"/>
      <c r="Z538" s="11"/>
      <c r="AA538" s="11"/>
      <c r="AB538" s="11"/>
      <c r="AC538" s="11">
        <v>428</v>
      </c>
      <c r="AD538" s="11">
        <v>7</v>
      </c>
      <c r="AE538" s="11"/>
      <c r="AF538" s="11"/>
      <c r="AG538" s="11"/>
      <c r="AH538" s="11"/>
      <c r="AI538" s="11">
        <v>15</v>
      </c>
      <c r="AJ538" s="11"/>
      <c r="AK538" s="11"/>
      <c r="AL538" s="11"/>
      <c r="AM538" s="11"/>
      <c r="AN538" s="11">
        <v>200</v>
      </c>
      <c r="AO538" s="11">
        <v>250</v>
      </c>
      <c r="AP538" s="11"/>
      <c r="AQ538" s="11"/>
      <c r="AR538" s="11"/>
      <c r="AS538" s="11"/>
      <c r="AT538" s="20" t="str">
        <f>HYPERLINK("http://www.openstreetmap.org/?mlat=34.0581&amp;mlon=44.2178&amp;zoom=12#map=12/34.0581/44.2178","Maplink1")</f>
        <v>Maplink1</v>
      </c>
      <c r="AU538" s="20" t="str">
        <f>HYPERLINK("https://www.google.iq/maps/search/+34.0581,44.2178/@34.0581,44.2178,14z?hl=en","Maplink2")</f>
        <v>Maplink2</v>
      </c>
      <c r="AV538" s="20" t="str">
        <f>HYPERLINK("http://www.bing.com/maps/?lvl=14&amp;sty=h&amp;cp=34.0581~44.2178&amp;sp=point.34.0581_44.2178","Maplink3")</f>
        <v>Maplink3</v>
      </c>
    </row>
    <row r="539" spans="1:48" s="19" customFormat="1" x14ac:dyDescent="0.25">
      <c r="A539" s="9">
        <v>20773</v>
      </c>
      <c r="B539" s="10" t="s">
        <v>22</v>
      </c>
      <c r="C539" s="10" t="s">
        <v>987</v>
      </c>
      <c r="D539" s="10" t="s">
        <v>995</v>
      </c>
      <c r="E539" s="10" t="s">
        <v>996</v>
      </c>
      <c r="F539" s="10">
        <v>34.026709490000002</v>
      </c>
      <c r="G539" s="10">
        <v>44.281843780000003</v>
      </c>
      <c r="H539" s="11">
        <v>440</v>
      </c>
      <c r="I539" s="11">
        <v>2640</v>
      </c>
      <c r="J539" s="11"/>
      <c r="K539" s="11"/>
      <c r="L539" s="11">
        <v>266</v>
      </c>
      <c r="M539" s="11"/>
      <c r="N539" s="11"/>
      <c r="O539" s="11"/>
      <c r="P539" s="11"/>
      <c r="Q539" s="11"/>
      <c r="R539" s="11">
        <v>51</v>
      </c>
      <c r="S539" s="11"/>
      <c r="T539" s="11"/>
      <c r="U539" s="11"/>
      <c r="V539" s="11"/>
      <c r="W539" s="11"/>
      <c r="X539" s="11">
        <v>123</v>
      </c>
      <c r="Y539" s="11"/>
      <c r="Z539" s="11"/>
      <c r="AA539" s="11"/>
      <c r="AB539" s="11"/>
      <c r="AC539" s="11">
        <v>423</v>
      </c>
      <c r="AD539" s="11">
        <v>17</v>
      </c>
      <c r="AE539" s="11"/>
      <c r="AF539" s="11"/>
      <c r="AG539" s="11"/>
      <c r="AH539" s="11"/>
      <c r="AI539" s="11"/>
      <c r="AJ539" s="11"/>
      <c r="AK539" s="11"/>
      <c r="AL539" s="11"/>
      <c r="AM539" s="11"/>
      <c r="AN539" s="11">
        <v>200</v>
      </c>
      <c r="AO539" s="11">
        <v>60</v>
      </c>
      <c r="AP539" s="11">
        <v>180</v>
      </c>
      <c r="AQ539" s="11"/>
      <c r="AR539" s="11"/>
      <c r="AS539" s="11"/>
      <c r="AT539" s="20" t="str">
        <f>HYPERLINK("http://www.openstreetmap.org/?mlat=34.0267&amp;mlon=44.2818&amp;zoom=12#map=12/34.0267/44.2818","Maplink1")</f>
        <v>Maplink1</v>
      </c>
      <c r="AU539" s="20" t="str">
        <f>HYPERLINK("https://www.google.iq/maps/search/+34.0267,44.2818/@34.0267,44.2818,14z?hl=en","Maplink2")</f>
        <v>Maplink2</v>
      </c>
      <c r="AV539" s="20" t="str">
        <f>HYPERLINK("http://www.bing.com/maps/?lvl=14&amp;sty=h&amp;cp=34.0267~44.2818&amp;sp=point.34.0267_44.2818","Maplink3")</f>
        <v>Maplink3</v>
      </c>
    </row>
    <row r="540" spans="1:48" s="19" customFormat="1" x14ac:dyDescent="0.25">
      <c r="A540" s="9">
        <v>29565</v>
      </c>
      <c r="B540" s="10" t="s">
        <v>22</v>
      </c>
      <c r="C540" s="10" t="s">
        <v>987</v>
      </c>
      <c r="D540" s="10" t="s">
        <v>997</v>
      </c>
      <c r="E540" s="10" t="s">
        <v>998</v>
      </c>
      <c r="F540" s="10">
        <v>34.032385730000001</v>
      </c>
      <c r="G540" s="10">
        <v>44.236536600000001</v>
      </c>
      <c r="H540" s="11">
        <v>2500</v>
      </c>
      <c r="I540" s="11">
        <v>15000</v>
      </c>
      <c r="J540" s="11"/>
      <c r="K540" s="11"/>
      <c r="L540" s="11">
        <v>80</v>
      </c>
      <c r="M540" s="11"/>
      <c r="N540" s="11"/>
      <c r="O540" s="11"/>
      <c r="P540" s="11"/>
      <c r="Q540" s="11"/>
      <c r="R540" s="11">
        <v>65</v>
      </c>
      <c r="S540" s="11"/>
      <c r="T540" s="11"/>
      <c r="U540" s="11"/>
      <c r="V540" s="11"/>
      <c r="W540" s="11"/>
      <c r="X540" s="11">
        <v>2355</v>
      </c>
      <c r="Y540" s="11"/>
      <c r="Z540" s="11"/>
      <c r="AA540" s="11"/>
      <c r="AB540" s="11"/>
      <c r="AC540" s="11">
        <v>2221</v>
      </c>
      <c r="AD540" s="11">
        <v>209</v>
      </c>
      <c r="AE540" s="11"/>
      <c r="AF540" s="11"/>
      <c r="AG540" s="11"/>
      <c r="AH540" s="11"/>
      <c r="AI540" s="11">
        <v>70</v>
      </c>
      <c r="AJ540" s="11"/>
      <c r="AK540" s="11"/>
      <c r="AL540" s="11"/>
      <c r="AM540" s="11"/>
      <c r="AN540" s="11"/>
      <c r="AO540" s="11">
        <v>628</v>
      </c>
      <c r="AP540" s="11">
        <v>293</v>
      </c>
      <c r="AQ540" s="11"/>
      <c r="AR540" s="11">
        <v>1079</v>
      </c>
      <c r="AS540" s="11">
        <v>500</v>
      </c>
      <c r="AT540" s="20" t="str">
        <f>HYPERLINK("http://www.openstreetmap.org/?mlat=34.0324&amp;mlon=44.2365&amp;zoom=12#map=12/34.0324/44.2365","Maplink1")</f>
        <v>Maplink1</v>
      </c>
      <c r="AU540" s="20" t="str">
        <f>HYPERLINK("https://www.google.iq/maps/search/+34.0324,44.2365/@34.0324,44.2365,14z?hl=en","Maplink2")</f>
        <v>Maplink2</v>
      </c>
      <c r="AV540" s="20" t="str">
        <f>HYPERLINK("http://www.bing.com/maps/?lvl=14&amp;sty=h&amp;cp=34.0324~44.2365&amp;sp=point.34.0324_44.2365","Maplink3")</f>
        <v>Maplink3</v>
      </c>
    </row>
    <row r="541" spans="1:48" s="19" customFormat="1" x14ac:dyDescent="0.25">
      <c r="A541" s="9">
        <v>23781</v>
      </c>
      <c r="B541" s="10" t="s">
        <v>22</v>
      </c>
      <c r="C541" s="10" t="s">
        <v>999</v>
      </c>
      <c r="D541" s="10" t="s">
        <v>1000</v>
      </c>
      <c r="E541" s="10" t="s">
        <v>1181</v>
      </c>
      <c r="F541" s="10">
        <v>34.078442189999997</v>
      </c>
      <c r="G541" s="10">
        <v>44.05397859</v>
      </c>
      <c r="H541" s="11">
        <v>312</v>
      </c>
      <c r="I541" s="11">
        <v>1872</v>
      </c>
      <c r="J541" s="11"/>
      <c r="K541" s="11"/>
      <c r="L541" s="11"/>
      <c r="M541" s="11"/>
      <c r="N541" s="11"/>
      <c r="O541" s="11"/>
      <c r="P541" s="11">
        <v>11</v>
      </c>
      <c r="Q541" s="11"/>
      <c r="R541" s="11">
        <v>18</v>
      </c>
      <c r="S541" s="11"/>
      <c r="T541" s="11"/>
      <c r="U541" s="11"/>
      <c r="V541" s="11"/>
      <c r="W541" s="11"/>
      <c r="X541" s="11">
        <v>276</v>
      </c>
      <c r="Y541" s="11">
        <v>7</v>
      </c>
      <c r="Z541" s="11"/>
      <c r="AA541" s="11"/>
      <c r="AB541" s="11"/>
      <c r="AC541" s="11">
        <v>296</v>
      </c>
      <c r="AD541" s="11"/>
      <c r="AE541" s="11"/>
      <c r="AF541" s="11">
        <v>16</v>
      </c>
      <c r="AG541" s="11"/>
      <c r="AH541" s="11"/>
      <c r="AI541" s="11"/>
      <c r="AJ541" s="11"/>
      <c r="AK541" s="11"/>
      <c r="AL541" s="11"/>
      <c r="AM541" s="11">
        <v>216</v>
      </c>
      <c r="AN541" s="11"/>
      <c r="AO541" s="11">
        <v>71</v>
      </c>
      <c r="AP541" s="11"/>
      <c r="AQ541" s="11"/>
      <c r="AR541" s="11"/>
      <c r="AS541" s="11">
        <v>25</v>
      </c>
      <c r="AT541" s="20" t="str">
        <f>HYPERLINK("http://www.openstreetmap.org/?mlat=34.0784&amp;mlon=44.054&amp;zoom=12#map=12/34.0784/44.054","Maplink1")</f>
        <v>Maplink1</v>
      </c>
      <c r="AU541" s="20" t="str">
        <f>HYPERLINK("https://www.google.iq/maps/search/+34.0784,44.054/@34.0784,44.054,14z?hl=en","Maplink2")</f>
        <v>Maplink2</v>
      </c>
      <c r="AV541" s="20" t="str">
        <f>HYPERLINK("http://www.bing.com/maps/?lvl=14&amp;sty=h&amp;cp=34.0784~44.054&amp;sp=point.34.0784_44.054","Maplink3")</f>
        <v>Maplink3</v>
      </c>
    </row>
    <row r="542" spans="1:48" s="19" customFormat="1" x14ac:dyDescent="0.25">
      <c r="A542" s="9">
        <v>20695</v>
      </c>
      <c r="B542" s="10" t="s">
        <v>22</v>
      </c>
      <c r="C542" s="10" t="s">
        <v>999</v>
      </c>
      <c r="D542" s="10" t="s">
        <v>1001</v>
      </c>
      <c r="E542" s="10" t="s">
        <v>1002</v>
      </c>
      <c r="F542" s="10">
        <v>34.29937718</v>
      </c>
      <c r="G542" s="10">
        <v>43.783179339999997</v>
      </c>
      <c r="H542" s="11">
        <v>286</v>
      </c>
      <c r="I542" s="11">
        <v>1716</v>
      </c>
      <c r="J542" s="11"/>
      <c r="K542" s="11"/>
      <c r="L542" s="11"/>
      <c r="M542" s="11"/>
      <c r="N542" s="11"/>
      <c r="O542" s="11"/>
      <c r="P542" s="11">
        <v>8</v>
      </c>
      <c r="Q542" s="11"/>
      <c r="R542" s="11">
        <v>21</v>
      </c>
      <c r="S542" s="11"/>
      <c r="T542" s="11"/>
      <c r="U542" s="11"/>
      <c r="V542" s="11"/>
      <c r="W542" s="11"/>
      <c r="X542" s="11">
        <v>247</v>
      </c>
      <c r="Y542" s="11">
        <v>10</v>
      </c>
      <c r="Z542" s="11"/>
      <c r="AA542" s="11"/>
      <c r="AB542" s="11"/>
      <c r="AC542" s="11">
        <v>283</v>
      </c>
      <c r="AD542" s="11">
        <v>3</v>
      </c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>
        <v>283</v>
      </c>
      <c r="AQ542" s="11">
        <v>3</v>
      </c>
      <c r="AR542" s="11"/>
      <c r="AS542" s="11"/>
      <c r="AT542" s="20" t="str">
        <f>HYPERLINK("http://www.openstreetmap.org/?mlat=34.2994&amp;mlon=43.7832&amp;zoom=12#map=12/34.2994/43.7832","Maplink1")</f>
        <v>Maplink1</v>
      </c>
      <c r="AU542" s="20" t="str">
        <f>HYPERLINK("https://www.google.iq/maps/search/+34.2994,43.7832/@34.2994,43.7832,14z?hl=en","Maplink2")</f>
        <v>Maplink2</v>
      </c>
      <c r="AV542" s="20" t="str">
        <f>HYPERLINK("http://www.bing.com/maps/?lvl=14&amp;sty=h&amp;cp=34.2994~43.7832&amp;sp=point.34.2994_43.7832","Maplink3")</f>
        <v>Maplink3</v>
      </c>
    </row>
    <row r="543" spans="1:48" s="19" customFormat="1" x14ac:dyDescent="0.25">
      <c r="A543" s="9">
        <v>20674</v>
      </c>
      <c r="B543" s="10" t="s">
        <v>22</v>
      </c>
      <c r="C543" s="10" t="s">
        <v>999</v>
      </c>
      <c r="D543" s="10" t="s">
        <v>1003</v>
      </c>
      <c r="E543" s="10" t="s">
        <v>1004</v>
      </c>
      <c r="F543" s="10">
        <v>34.202021160000001</v>
      </c>
      <c r="G543" s="10">
        <v>43.811763470000002</v>
      </c>
      <c r="H543" s="11">
        <v>489</v>
      </c>
      <c r="I543" s="11">
        <v>2934</v>
      </c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>
        <v>489</v>
      </c>
      <c r="Y543" s="11"/>
      <c r="Z543" s="11"/>
      <c r="AA543" s="11"/>
      <c r="AB543" s="11"/>
      <c r="AC543" s="11">
        <v>489</v>
      </c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>
        <v>391</v>
      </c>
      <c r="AR543" s="11"/>
      <c r="AS543" s="11">
        <v>98</v>
      </c>
      <c r="AT543" s="20" t="str">
        <f>HYPERLINK("http://www.openstreetmap.org/?mlat=34.202&amp;mlon=43.8118&amp;zoom=12#map=12/34.202/43.8118","Maplink1")</f>
        <v>Maplink1</v>
      </c>
      <c r="AU543" s="20" t="str">
        <f>HYPERLINK("https://www.google.iq/maps/search/+34.202,43.8118/@34.202,43.8118,14z?hl=en","Maplink2")</f>
        <v>Maplink2</v>
      </c>
      <c r="AV543" s="20" t="str">
        <f>HYPERLINK("http://www.bing.com/maps/?lvl=14&amp;sty=h&amp;cp=34.202~43.8118&amp;sp=point.34.202_43.8118","Maplink3")</f>
        <v>Maplink3</v>
      </c>
    </row>
    <row r="544" spans="1:48" s="19" customFormat="1" x14ac:dyDescent="0.25">
      <c r="A544" s="9">
        <v>20673</v>
      </c>
      <c r="B544" s="10" t="s">
        <v>22</v>
      </c>
      <c r="C544" s="10" t="s">
        <v>999</v>
      </c>
      <c r="D544" s="10" t="s">
        <v>1005</v>
      </c>
      <c r="E544" s="10" t="s">
        <v>1006</v>
      </c>
      <c r="F544" s="10">
        <v>34.224467769999997</v>
      </c>
      <c r="G544" s="10">
        <v>43.993904909999998</v>
      </c>
      <c r="H544" s="11">
        <v>740</v>
      </c>
      <c r="I544" s="11">
        <v>4440</v>
      </c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>
        <v>740</v>
      </c>
      <c r="Y544" s="11"/>
      <c r="Z544" s="11"/>
      <c r="AA544" s="11"/>
      <c r="AB544" s="11"/>
      <c r="AC544" s="11">
        <v>681</v>
      </c>
      <c r="AD544" s="11"/>
      <c r="AE544" s="11"/>
      <c r="AF544" s="11"/>
      <c r="AG544" s="11"/>
      <c r="AH544" s="11"/>
      <c r="AI544" s="11"/>
      <c r="AJ544" s="11"/>
      <c r="AK544" s="11"/>
      <c r="AL544" s="11">
        <v>59</v>
      </c>
      <c r="AM544" s="11">
        <v>269</v>
      </c>
      <c r="AN544" s="11"/>
      <c r="AO544" s="11"/>
      <c r="AP544" s="11">
        <v>412</v>
      </c>
      <c r="AQ544" s="11"/>
      <c r="AR544" s="11"/>
      <c r="AS544" s="11">
        <v>59</v>
      </c>
      <c r="AT544" s="20" t="str">
        <f>HYPERLINK("http://www.openstreetmap.org/?mlat=34.2245&amp;mlon=43.9939&amp;zoom=12#map=12/34.2245/43.9939","Maplink1")</f>
        <v>Maplink1</v>
      </c>
      <c r="AU544" s="20" t="str">
        <f>HYPERLINK("https://www.google.iq/maps/search/+34.2245,43.9939/@34.2245,43.9939,14z?hl=en","Maplink2")</f>
        <v>Maplink2</v>
      </c>
      <c r="AV544" s="20" t="str">
        <f>HYPERLINK("http://www.bing.com/maps/?lvl=14&amp;sty=h&amp;cp=34.2245~43.9939&amp;sp=point.34.2245_43.9939","Maplink3")</f>
        <v>Maplink3</v>
      </c>
    </row>
    <row r="545" spans="1:48" s="19" customFormat="1" x14ac:dyDescent="0.25">
      <c r="A545" s="9">
        <v>23774</v>
      </c>
      <c r="B545" s="10" t="s">
        <v>22</v>
      </c>
      <c r="C545" s="10" t="s">
        <v>999</v>
      </c>
      <c r="D545" s="10" t="s">
        <v>1007</v>
      </c>
      <c r="E545" s="10" t="s">
        <v>1008</v>
      </c>
      <c r="F545" s="10">
        <v>34.072896729999997</v>
      </c>
      <c r="G545" s="10">
        <v>44.096312150000003</v>
      </c>
      <c r="H545" s="11">
        <v>372</v>
      </c>
      <c r="I545" s="11">
        <v>2232</v>
      </c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>
        <v>372</v>
      </c>
      <c r="Y545" s="11"/>
      <c r="Z545" s="11"/>
      <c r="AA545" s="11"/>
      <c r="AB545" s="11"/>
      <c r="AC545" s="11">
        <v>372</v>
      </c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>
        <v>352</v>
      </c>
      <c r="AP545" s="11">
        <v>20</v>
      </c>
      <c r="AQ545" s="11"/>
      <c r="AR545" s="11"/>
      <c r="AS545" s="11"/>
      <c r="AT545" s="20" t="str">
        <f>HYPERLINK("http://www.openstreetmap.org/?mlat=34.0729&amp;mlon=44.0963&amp;zoom=12#map=12/34.0729/44.0963","Maplink1")</f>
        <v>Maplink1</v>
      </c>
      <c r="AU545" s="20" t="str">
        <f>HYPERLINK("https://www.google.iq/maps/search/+34.0729,44.0963/@34.0729,44.0963,14z?hl=en","Maplink2")</f>
        <v>Maplink2</v>
      </c>
      <c r="AV545" s="20" t="str">
        <f>HYPERLINK("http://www.bing.com/maps/?lvl=14&amp;sty=h&amp;cp=34.0729~44.0963&amp;sp=point.34.0729_44.0963","Maplink3")</f>
        <v>Maplink3</v>
      </c>
    </row>
    <row r="546" spans="1:48" s="19" customFormat="1" x14ac:dyDescent="0.25">
      <c r="A546" s="9">
        <v>23775</v>
      </c>
      <c r="B546" s="10" t="s">
        <v>22</v>
      </c>
      <c r="C546" s="10" t="s">
        <v>999</v>
      </c>
      <c r="D546" s="10" t="s">
        <v>1009</v>
      </c>
      <c r="E546" s="10" t="s">
        <v>1010</v>
      </c>
      <c r="F546" s="10">
        <v>34.075947909999996</v>
      </c>
      <c r="G546" s="10">
        <v>44.070146700000002</v>
      </c>
      <c r="H546" s="11">
        <v>230</v>
      </c>
      <c r="I546" s="11">
        <v>1380</v>
      </c>
      <c r="J546" s="11"/>
      <c r="K546" s="11"/>
      <c r="L546" s="11"/>
      <c r="M546" s="11"/>
      <c r="N546" s="11"/>
      <c r="O546" s="11"/>
      <c r="P546" s="11">
        <v>12</v>
      </c>
      <c r="Q546" s="11"/>
      <c r="R546" s="11">
        <v>39</v>
      </c>
      <c r="S546" s="11"/>
      <c r="T546" s="11"/>
      <c r="U546" s="11"/>
      <c r="V546" s="11"/>
      <c r="W546" s="11"/>
      <c r="X546" s="11">
        <v>156</v>
      </c>
      <c r="Y546" s="11">
        <v>23</v>
      </c>
      <c r="Z546" s="11"/>
      <c r="AA546" s="11"/>
      <c r="AB546" s="11"/>
      <c r="AC546" s="11">
        <v>213</v>
      </c>
      <c r="AD546" s="11"/>
      <c r="AE546" s="11"/>
      <c r="AF546" s="11"/>
      <c r="AG546" s="11"/>
      <c r="AH546" s="11"/>
      <c r="AI546" s="11">
        <v>17</v>
      </c>
      <c r="AJ546" s="11"/>
      <c r="AK546" s="11"/>
      <c r="AL546" s="11"/>
      <c r="AM546" s="11">
        <v>160</v>
      </c>
      <c r="AN546" s="11">
        <v>32</v>
      </c>
      <c r="AO546" s="11">
        <v>38</v>
      </c>
      <c r="AP546" s="11"/>
      <c r="AQ546" s="11"/>
      <c r="AR546" s="11"/>
      <c r="AS546" s="11"/>
      <c r="AT546" s="20" t="str">
        <f>HYPERLINK("http://www.openstreetmap.org/?mlat=34.0759&amp;mlon=44.0701&amp;zoom=12#map=12/34.0759/44.0701","Maplink1")</f>
        <v>Maplink1</v>
      </c>
      <c r="AU546" s="20" t="str">
        <f>HYPERLINK("https://www.google.iq/maps/search/+34.0759,44.0701/@34.0759,44.0701,14z?hl=en","Maplink2")</f>
        <v>Maplink2</v>
      </c>
      <c r="AV546" s="20" t="str">
        <f>HYPERLINK("http://www.bing.com/maps/?lvl=14&amp;sty=h&amp;cp=34.0759~44.0701&amp;sp=point.34.0759_44.0701","Maplink3")</f>
        <v>Maplink3</v>
      </c>
    </row>
    <row r="547" spans="1:48" s="19" customFormat="1" x14ac:dyDescent="0.25">
      <c r="A547" s="9">
        <v>20752</v>
      </c>
      <c r="B547" s="10" t="s">
        <v>22</v>
      </c>
      <c r="C547" s="10" t="s">
        <v>999</v>
      </c>
      <c r="D547" s="10" t="s">
        <v>1011</v>
      </c>
      <c r="E547" s="10" t="s">
        <v>1182</v>
      </c>
      <c r="F547" s="10">
        <v>34.368115000000003</v>
      </c>
      <c r="G547" s="10">
        <v>43.660998999999997</v>
      </c>
      <c r="H547" s="11">
        <v>1950</v>
      </c>
      <c r="I547" s="11">
        <v>11700</v>
      </c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>
        <v>1950</v>
      </c>
      <c r="Y547" s="11"/>
      <c r="Z547" s="11"/>
      <c r="AA547" s="11"/>
      <c r="AB547" s="11"/>
      <c r="AC547" s="11">
        <v>1950</v>
      </c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>
        <v>201</v>
      </c>
      <c r="AR547" s="11">
        <v>1736</v>
      </c>
      <c r="AS547" s="11">
        <v>13</v>
      </c>
      <c r="AT547" s="20" t="str">
        <f>HYPERLINK("http://www.openstreetmap.org/?mlat=34.3681&amp;mlon=43.661&amp;zoom=12#map=12/34.3681/43.661","Maplink1")</f>
        <v>Maplink1</v>
      </c>
      <c r="AU547" s="20" t="str">
        <f>HYPERLINK("https://www.google.iq/maps/search/+34.3681,43.661/@34.3681,43.661,14z?hl=en","Maplink2")</f>
        <v>Maplink2</v>
      </c>
      <c r="AV547" s="20" t="str">
        <f>HYPERLINK("http://www.bing.com/maps/?lvl=14&amp;sty=h&amp;cp=34.3681~43.661&amp;sp=point.34.3681_43.661","Maplink3")</f>
        <v>Maplink3</v>
      </c>
    </row>
    <row r="548" spans="1:48" s="19" customFormat="1" x14ac:dyDescent="0.25">
      <c r="A548" s="9">
        <v>25926</v>
      </c>
      <c r="B548" s="10" t="s">
        <v>22</v>
      </c>
      <c r="C548" s="10" t="s">
        <v>999</v>
      </c>
      <c r="D548" s="10" t="s">
        <v>1012</v>
      </c>
      <c r="E548" s="10" t="s">
        <v>1013</v>
      </c>
      <c r="F548" s="10">
        <v>34.261235239999998</v>
      </c>
      <c r="G548" s="10">
        <v>43.884669180000003</v>
      </c>
      <c r="H548" s="11">
        <v>465</v>
      </c>
      <c r="I548" s="11">
        <v>2790</v>
      </c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>
        <v>465</v>
      </c>
      <c r="Y548" s="11"/>
      <c r="Z548" s="11"/>
      <c r="AA548" s="11"/>
      <c r="AB548" s="11"/>
      <c r="AC548" s="11">
        <v>435</v>
      </c>
      <c r="AD548" s="11"/>
      <c r="AE548" s="11"/>
      <c r="AF548" s="11"/>
      <c r="AG548" s="11">
        <v>30</v>
      </c>
      <c r="AH548" s="11"/>
      <c r="AI548" s="11"/>
      <c r="AJ548" s="11"/>
      <c r="AK548" s="11"/>
      <c r="AL548" s="11"/>
      <c r="AM548" s="11"/>
      <c r="AN548" s="11"/>
      <c r="AO548" s="11"/>
      <c r="AP548" s="11">
        <v>435</v>
      </c>
      <c r="AQ548" s="11"/>
      <c r="AR548" s="11"/>
      <c r="AS548" s="11">
        <v>30</v>
      </c>
      <c r="AT548" s="20" t="str">
        <f>HYPERLINK("http://www.openstreetmap.org/?mlat=34.2612&amp;mlon=43.8847&amp;zoom=12#map=12/34.2612/43.8847","Maplink1")</f>
        <v>Maplink1</v>
      </c>
      <c r="AU548" s="20" t="str">
        <f>HYPERLINK("https://www.google.iq/maps/search/+34.2612,43.8847/@34.2612,43.8847,14z?hl=en","Maplink2")</f>
        <v>Maplink2</v>
      </c>
      <c r="AV548" s="20" t="str">
        <f>HYPERLINK("http://www.bing.com/maps/?lvl=14&amp;sty=h&amp;cp=34.2612~43.8847&amp;sp=point.34.2612_43.8847","Maplink3")</f>
        <v>Maplink3</v>
      </c>
    </row>
    <row r="549" spans="1:48" s="19" customFormat="1" x14ac:dyDescent="0.25">
      <c r="A549" s="9">
        <v>29539</v>
      </c>
      <c r="B549" s="10" t="s">
        <v>22</v>
      </c>
      <c r="C549" s="10" t="s">
        <v>999</v>
      </c>
      <c r="D549" s="10" t="s">
        <v>1014</v>
      </c>
      <c r="E549" s="10" t="s">
        <v>1183</v>
      </c>
      <c r="F549" s="10">
        <v>34.371761820000003</v>
      </c>
      <c r="G549" s="10">
        <v>43.762534619999997</v>
      </c>
      <c r="H549" s="11">
        <v>2490</v>
      </c>
      <c r="I549" s="11">
        <v>14940</v>
      </c>
      <c r="J549" s="11"/>
      <c r="K549" s="11"/>
      <c r="L549" s="11">
        <v>215</v>
      </c>
      <c r="M549" s="11"/>
      <c r="N549" s="11"/>
      <c r="O549" s="11"/>
      <c r="P549" s="11">
        <v>23</v>
      </c>
      <c r="Q549" s="11"/>
      <c r="R549" s="11">
        <v>55</v>
      </c>
      <c r="S549" s="11"/>
      <c r="T549" s="11"/>
      <c r="U549" s="11"/>
      <c r="V549" s="11"/>
      <c r="W549" s="11"/>
      <c r="X549" s="11">
        <v>2167</v>
      </c>
      <c r="Y549" s="11">
        <v>30</v>
      </c>
      <c r="Z549" s="11"/>
      <c r="AA549" s="11"/>
      <c r="AB549" s="11"/>
      <c r="AC549" s="11">
        <v>2090</v>
      </c>
      <c r="AD549" s="11"/>
      <c r="AE549" s="11"/>
      <c r="AF549" s="11">
        <v>400</v>
      </c>
      <c r="AG549" s="11"/>
      <c r="AH549" s="11"/>
      <c r="AI549" s="11"/>
      <c r="AJ549" s="11"/>
      <c r="AK549" s="11"/>
      <c r="AL549" s="11"/>
      <c r="AM549" s="11">
        <v>1400</v>
      </c>
      <c r="AN549" s="11">
        <v>490</v>
      </c>
      <c r="AO549" s="11">
        <v>220</v>
      </c>
      <c r="AP549" s="11">
        <v>380</v>
      </c>
      <c r="AQ549" s="11"/>
      <c r="AR549" s="11"/>
      <c r="AS549" s="11"/>
      <c r="AT549" s="20" t="str">
        <f>HYPERLINK("http://www.openstreetmap.org/?mlat=34.3718&amp;mlon=43.7625&amp;zoom=12#map=12/34.3718/43.7625","Maplink1")</f>
        <v>Maplink1</v>
      </c>
      <c r="AU549" s="20" t="str">
        <f>HYPERLINK("https://www.google.iq/maps/search/+34.3718,43.7625/@34.3718,43.7625,14z?hl=en","Maplink2")</f>
        <v>Maplink2</v>
      </c>
      <c r="AV549" s="20" t="str">
        <f>HYPERLINK("http://www.bing.com/maps/?lvl=14&amp;sty=h&amp;cp=34.3718~43.7625&amp;sp=point.34.3718_43.7625","Maplink3")</f>
        <v>Maplink3</v>
      </c>
    </row>
    <row r="550" spans="1:48" s="19" customFormat="1" x14ac:dyDescent="0.25">
      <c r="A550" s="9">
        <v>23702</v>
      </c>
      <c r="B550" s="10" t="s">
        <v>22</v>
      </c>
      <c r="C550" s="10" t="s">
        <v>1015</v>
      </c>
      <c r="D550" s="10" t="s">
        <v>1184</v>
      </c>
      <c r="E550" s="10" t="s">
        <v>1078</v>
      </c>
      <c r="F550" s="10">
        <v>34.664178589999999</v>
      </c>
      <c r="G550" s="10">
        <v>43.65701859</v>
      </c>
      <c r="H550" s="11">
        <v>1268</v>
      </c>
      <c r="I550" s="11">
        <v>7608</v>
      </c>
      <c r="J550" s="11"/>
      <c r="K550" s="11"/>
      <c r="L550" s="11">
        <v>100</v>
      </c>
      <c r="M550" s="11"/>
      <c r="N550" s="11">
        <v>100</v>
      </c>
      <c r="O550" s="11"/>
      <c r="P550" s="11">
        <v>300</v>
      </c>
      <c r="Q550" s="11"/>
      <c r="R550" s="11">
        <v>445</v>
      </c>
      <c r="S550" s="11"/>
      <c r="T550" s="11"/>
      <c r="U550" s="11"/>
      <c r="V550" s="11"/>
      <c r="W550" s="11"/>
      <c r="X550" s="11">
        <v>283</v>
      </c>
      <c r="Y550" s="11">
        <v>40</v>
      </c>
      <c r="Z550" s="11"/>
      <c r="AA550" s="11"/>
      <c r="AB550" s="11"/>
      <c r="AC550" s="11">
        <v>1126</v>
      </c>
      <c r="AD550" s="11"/>
      <c r="AE550" s="11"/>
      <c r="AF550" s="11">
        <v>30</v>
      </c>
      <c r="AG550" s="11"/>
      <c r="AH550" s="11"/>
      <c r="AI550" s="11">
        <v>112</v>
      </c>
      <c r="AJ550" s="11"/>
      <c r="AK550" s="11"/>
      <c r="AL550" s="11"/>
      <c r="AM550" s="11"/>
      <c r="AN550" s="11">
        <v>606</v>
      </c>
      <c r="AO550" s="11">
        <v>400</v>
      </c>
      <c r="AP550" s="11">
        <v>85</v>
      </c>
      <c r="AQ550" s="11"/>
      <c r="AR550" s="11">
        <v>177</v>
      </c>
      <c r="AS550" s="11"/>
      <c r="AT550" s="20" t="str">
        <f>HYPERLINK("http://www.openstreetmap.org/?mlat=34.6642&amp;mlon=43.657&amp;zoom=12#map=12/34.6642/43.657","Maplink1")</f>
        <v>Maplink1</v>
      </c>
      <c r="AU550" s="20" t="str">
        <f>HYPERLINK("https://www.google.iq/maps/search/+34.6642,43.657/@34.6642,43.657,14z?hl=en","Maplink2")</f>
        <v>Maplink2</v>
      </c>
      <c r="AV550" s="20" t="str">
        <f>HYPERLINK("http://www.bing.com/maps/?lvl=14&amp;sty=h&amp;cp=34.6642~43.657&amp;sp=point.34.6642_43.657","Maplink3")</f>
        <v>Maplink3</v>
      </c>
    </row>
    <row r="551" spans="1:48" s="19" customFormat="1" x14ac:dyDescent="0.25">
      <c r="A551" s="9">
        <v>23145</v>
      </c>
      <c r="B551" s="10" t="s">
        <v>22</v>
      </c>
      <c r="C551" s="10" t="s">
        <v>1015</v>
      </c>
      <c r="D551" s="10" t="s">
        <v>1016</v>
      </c>
      <c r="E551" s="10" t="s">
        <v>1017</v>
      </c>
      <c r="F551" s="10">
        <v>34.725979170000002</v>
      </c>
      <c r="G551" s="10">
        <v>43.694854079999999</v>
      </c>
      <c r="H551" s="11">
        <v>750</v>
      </c>
      <c r="I551" s="11">
        <v>4500</v>
      </c>
      <c r="J551" s="11"/>
      <c r="K551" s="11"/>
      <c r="L551" s="11">
        <v>33</v>
      </c>
      <c r="M551" s="11"/>
      <c r="N551" s="11"/>
      <c r="O551" s="11"/>
      <c r="P551" s="11">
        <v>38</v>
      </c>
      <c r="Q551" s="11"/>
      <c r="R551" s="11">
        <v>409</v>
      </c>
      <c r="S551" s="11"/>
      <c r="T551" s="11"/>
      <c r="U551" s="11"/>
      <c r="V551" s="11"/>
      <c r="W551" s="11"/>
      <c r="X551" s="11">
        <v>253</v>
      </c>
      <c r="Y551" s="11">
        <v>17</v>
      </c>
      <c r="Z551" s="11"/>
      <c r="AA551" s="11"/>
      <c r="AB551" s="11"/>
      <c r="AC551" s="11">
        <v>750</v>
      </c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>
        <v>400</v>
      </c>
      <c r="AO551" s="11">
        <v>350</v>
      </c>
      <c r="AP551" s="11"/>
      <c r="AQ551" s="11"/>
      <c r="AR551" s="11"/>
      <c r="AS551" s="11"/>
      <c r="AT551" s="20" t="str">
        <f>HYPERLINK("http://www.openstreetmap.org/?mlat=34.726&amp;mlon=43.6949&amp;zoom=12#map=12/34.726/43.6949","Maplink1")</f>
        <v>Maplink1</v>
      </c>
      <c r="AU551" s="20" t="str">
        <f>HYPERLINK("https://www.google.iq/maps/search/+34.726,43.6949/@34.726,43.6949,14z?hl=en","Maplink2")</f>
        <v>Maplink2</v>
      </c>
      <c r="AV551" s="20" t="str">
        <f>HYPERLINK("http://www.bing.com/maps/?lvl=14&amp;sty=h&amp;cp=34.726~43.6949&amp;sp=point.34.726_43.6949","Maplink3")</f>
        <v>Maplink3</v>
      </c>
    </row>
    <row r="552" spans="1:48" s="19" customFormat="1" x14ac:dyDescent="0.25">
      <c r="A552" s="9">
        <v>25949</v>
      </c>
      <c r="B552" s="10" t="s">
        <v>22</v>
      </c>
      <c r="C552" s="10" t="s">
        <v>1015</v>
      </c>
      <c r="D552" s="10" t="s">
        <v>1018</v>
      </c>
      <c r="E552" s="10" t="s">
        <v>1019</v>
      </c>
      <c r="F552" s="10">
        <v>34.87631768</v>
      </c>
      <c r="G552" s="10">
        <v>43.580709319999997</v>
      </c>
      <c r="H552" s="11">
        <v>400</v>
      </c>
      <c r="I552" s="11">
        <v>2400</v>
      </c>
      <c r="J552" s="11"/>
      <c r="K552" s="11"/>
      <c r="L552" s="11"/>
      <c r="M552" s="11"/>
      <c r="N552" s="11"/>
      <c r="O552" s="11"/>
      <c r="P552" s="11"/>
      <c r="Q552" s="11"/>
      <c r="R552" s="11">
        <v>200</v>
      </c>
      <c r="S552" s="11"/>
      <c r="T552" s="11"/>
      <c r="U552" s="11"/>
      <c r="V552" s="11"/>
      <c r="W552" s="11"/>
      <c r="X552" s="11">
        <v>200</v>
      </c>
      <c r="Y552" s="11"/>
      <c r="Z552" s="11"/>
      <c r="AA552" s="11"/>
      <c r="AB552" s="11"/>
      <c r="AC552" s="11">
        <v>390</v>
      </c>
      <c r="AD552" s="11"/>
      <c r="AE552" s="11"/>
      <c r="AF552" s="11">
        <v>10</v>
      </c>
      <c r="AG552" s="11"/>
      <c r="AH552" s="11"/>
      <c r="AI552" s="11"/>
      <c r="AJ552" s="11"/>
      <c r="AK552" s="11"/>
      <c r="AL552" s="11"/>
      <c r="AM552" s="11"/>
      <c r="AN552" s="11"/>
      <c r="AO552" s="11"/>
      <c r="AP552" s="11">
        <v>400</v>
      </c>
      <c r="AQ552" s="11"/>
      <c r="AR552" s="11"/>
      <c r="AS552" s="11"/>
      <c r="AT552" s="20" t="str">
        <f>HYPERLINK("http://www.openstreetmap.org/?mlat=34.8763&amp;mlon=43.5807&amp;zoom=12#map=12/34.8763/43.5807","Maplink1")</f>
        <v>Maplink1</v>
      </c>
      <c r="AU552" s="20" t="str">
        <f>HYPERLINK("https://www.google.iq/maps/search/+34.8763,43.5807/@34.8763,43.5807,14z?hl=en","Maplink2")</f>
        <v>Maplink2</v>
      </c>
      <c r="AV552" s="20" t="str">
        <f>HYPERLINK("http://www.bing.com/maps/?lvl=14&amp;sty=h&amp;cp=34.8763~43.5807&amp;sp=point.34.8763_43.5807","Maplink3")</f>
        <v>Maplink3</v>
      </c>
    </row>
    <row r="553" spans="1:48" s="19" customFormat="1" x14ac:dyDescent="0.25">
      <c r="A553" s="9">
        <v>25569</v>
      </c>
      <c r="B553" s="10" t="s">
        <v>22</v>
      </c>
      <c r="C553" s="10" t="s">
        <v>1015</v>
      </c>
      <c r="D553" s="10" t="s">
        <v>1020</v>
      </c>
      <c r="E553" s="10" t="s">
        <v>1021</v>
      </c>
      <c r="F553" s="10">
        <v>34.700732410000001</v>
      </c>
      <c r="G553" s="10">
        <v>43.681833240000003</v>
      </c>
      <c r="H553" s="11">
        <v>200</v>
      </c>
      <c r="I553" s="11">
        <v>1200</v>
      </c>
      <c r="J553" s="11"/>
      <c r="K553" s="11"/>
      <c r="L553" s="11"/>
      <c r="M553" s="11"/>
      <c r="N553" s="11"/>
      <c r="O553" s="11"/>
      <c r="P553" s="11">
        <v>19</v>
      </c>
      <c r="Q553" s="11"/>
      <c r="R553" s="11">
        <v>174</v>
      </c>
      <c r="S553" s="11"/>
      <c r="T553" s="11"/>
      <c r="U553" s="11"/>
      <c r="V553" s="11"/>
      <c r="W553" s="11"/>
      <c r="X553" s="11"/>
      <c r="Y553" s="11">
        <v>7</v>
      </c>
      <c r="Z553" s="11"/>
      <c r="AA553" s="11"/>
      <c r="AB553" s="11"/>
      <c r="AC553" s="11">
        <v>200</v>
      </c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>
        <v>174</v>
      </c>
      <c r="AP553" s="11">
        <v>26</v>
      </c>
      <c r="AQ553" s="11"/>
      <c r="AR553" s="11"/>
      <c r="AS553" s="11"/>
      <c r="AT553" s="20" t="str">
        <f>HYPERLINK("http://www.openstreetmap.org/?mlat=34.7007&amp;mlon=43.6818&amp;zoom=12#map=12/34.7007/43.6818","Maplink1")</f>
        <v>Maplink1</v>
      </c>
      <c r="AU553" s="20" t="str">
        <f>HYPERLINK("https://www.google.iq/maps/search/+34.7007,43.6818/@34.7007,43.6818,14z?hl=en","Maplink2")</f>
        <v>Maplink2</v>
      </c>
      <c r="AV553" s="20" t="str">
        <f>HYPERLINK("http://www.bing.com/maps/?lvl=14&amp;sty=h&amp;cp=34.7007~43.6818&amp;sp=point.34.7007_43.6818","Maplink3")</f>
        <v>Maplink3</v>
      </c>
    </row>
    <row r="554" spans="1:48" s="19" customFormat="1" x14ac:dyDescent="0.25">
      <c r="A554" s="9">
        <v>24212</v>
      </c>
      <c r="B554" s="10" t="s">
        <v>22</v>
      </c>
      <c r="C554" s="10" t="s">
        <v>1015</v>
      </c>
      <c r="D554" s="10" t="s">
        <v>1023</v>
      </c>
      <c r="E554" s="10" t="s">
        <v>1024</v>
      </c>
      <c r="F554" s="10">
        <v>34.768273579999999</v>
      </c>
      <c r="G554" s="10">
        <v>43.656219569999998</v>
      </c>
      <c r="H554" s="11">
        <v>75</v>
      </c>
      <c r="I554" s="11">
        <v>450</v>
      </c>
      <c r="J554" s="11"/>
      <c r="K554" s="11"/>
      <c r="L554" s="11">
        <v>5</v>
      </c>
      <c r="M554" s="11"/>
      <c r="N554" s="11"/>
      <c r="O554" s="11"/>
      <c r="P554" s="11">
        <v>20</v>
      </c>
      <c r="Q554" s="11"/>
      <c r="R554" s="11">
        <v>20</v>
      </c>
      <c r="S554" s="11"/>
      <c r="T554" s="11"/>
      <c r="U554" s="11"/>
      <c r="V554" s="11"/>
      <c r="W554" s="11"/>
      <c r="X554" s="11">
        <v>20</v>
      </c>
      <c r="Y554" s="11">
        <v>10</v>
      </c>
      <c r="Z554" s="11"/>
      <c r="AA554" s="11"/>
      <c r="AB554" s="11"/>
      <c r="AC554" s="11">
        <v>75</v>
      </c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>
        <v>60</v>
      </c>
      <c r="AO554" s="11">
        <v>15</v>
      </c>
      <c r="AP554" s="11"/>
      <c r="AQ554" s="11"/>
      <c r="AR554" s="11"/>
      <c r="AS554" s="11"/>
      <c r="AT554" s="20" t="str">
        <f>HYPERLINK("http://www.openstreetmap.org/?mlat=34.7683&amp;mlon=43.6562&amp;zoom=12#map=12/34.7683/43.6562","Maplink1")</f>
        <v>Maplink1</v>
      </c>
      <c r="AU554" s="20" t="str">
        <f>HYPERLINK("https://www.google.iq/maps/search/+34.7683,43.6562/@34.7683,43.6562,14z?hl=en","Maplink2")</f>
        <v>Maplink2</v>
      </c>
      <c r="AV554" s="20" t="str">
        <f>HYPERLINK("http://www.bing.com/maps/?lvl=14&amp;sty=h&amp;cp=34.7683~43.6562&amp;sp=point.34.7683_43.6562","Maplink3")</f>
        <v>Maplink3</v>
      </c>
    </row>
    <row r="555" spans="1:48" s="19" customFormat="1" x14ac:dyDescent="0.25">
      <c r="A555" s="9">
        <v>26034</v>
      </c>
      <c r="B555" s="10" t="s">
        <v>22</v>
      </c>
      <c r="C555" s="10" t="s">
        <v>1015</v>
      </c>
      <c r="D555" s="10" t="s">
        <v>1025</v>
      </c>
      <c r="E555" s="10" t="s">
        <v>1026</v>
      </c>
      <c r="F555" s="10">
        <v>34.725764210000001</v>
      </c>
      <c r="G555" s="10">
        <v>43.63827766</v>
      </c>
      <c r="H555" s="11">
        <v>381</v>
      </c>
      <c r="I555" s="11">
        <v>2286</v>
      </c>
      <c r="J555" s="11"/>
      <c r="K555" s="11"/>
      <c r="L555" s="11"/>
      <c r="M555" s="11"/>
      <c r="N555" s="11">
        <v>2</v>
      </c>
      <c r="O555" s="11"/>
      <c r="P555" s="11">
        <v>61</v>
      </c>
      <c r="Q555" s="11"/>
      <c r="R555" s="11">
        <v>76</v>
      </c>
      <c r="S555" s="11"/>
      <c r="T555" s="11"/>
      <c r="U555" s="11"/>
      <c r="V555" s="11"/>
      <c r="W555" s="11"/>
      <c r="X555" s="11">
        <v>205</v>
      </c>
      <c r="Y555" s="11">
        <v>35</v>
      </c>
      <c r="Z555" s="11"/>
      <c r="AA555" s="11">
        <v>2</v>
      </c>
      <c r="AB555" s="11"/>
      <c r="AC555" s="11">
        <v>311</v>
      </c>
      <c r="AD555" s="11">
        <v>20</v>
      </c>
      <c r="AE555" s="11"/>
      <c r="AF555" s="11"/>
      <c r="AG555" s="11"/>
      <c r="AH555" s="11"/>
      <c r="AI555" s="11">
        <v>50</v>
      </c>
      <c r="AJ555" s="11"/>
      <c r="AK555" s="11"/>
      <c r="AL555" s="11"/>
      <c r="AM555" s="11"/>
      <c r="AN555" s="11">
        <v>176</v>
      </c>
      <c r="AO555" s="11"/>
      <c r="AP555" s="11"/>
      <c r="AQ555" s="11"/>
      <c r="AR555" s="11">
        <v>205</v>
      </c>
      <c r="AS555" s="11"/>
      <c r="AT555" s="20" t="str">
        <f>HYPERLINK("http://www.openstreetmap.org/?mlat=34.7258&amp;mlon=43.6383&amp;zoom=12#map=12/34.7258/43.6383","Maplink1")</f>
        <v>Maplink1</v>
      </c>
      <c r="AU555" s="20" t="str">
        <f>HYPERLINK("https://www.google.iq/maps/search/+34.7258,43.6383/@34.7258,43.6383,14z?hl=en","Maplink2")</f>
        <v>Maplink2</v>
      </c>
      <c r="AV555" s="20" t="str">
        <f>HYPERLINK("http://www.bing.com/maps/?lvl=14&amp;sty=h&amp;cp=34.7258~43.6383&amp;sp=point.34.7258_43.6383","Maplink3")</f>
        <v>Maplink3</v>
      </c>
    </row>
    <row r="556" spans="1:48" s="19" customFormat="1" x14ac:dyDescent="0.25">
      <c r="A556" s="9">
        <v>25894</v>
      </c>
      <c r="B556" s="10" t="s">
        <v>22</v>
      </c>
      <c r="C556" s="10" t="s">
        <v>1015</v>
      </c>
      <c r="D556" s="10" t="s">
        <v>1027</v>
      </c>
      <c r="E556" s="10" t="s">
        <v>1028</v>
      </c>
      <c r="F556" s="10">
        <v>34.650883219999997</v>
      </c>
      <c r="G556" s="10">
        <v>43.884145650000001</v>
      </c>
      <c r="H556" s="11">
        <v>101</v>
      </c>
      <c r="I556" s="11">
        <v>606</v>
      </c>
      <c r="J556" s="11"/>
      <c r="K556" s="11"/>
      <c r="L556" s="11"/>
      <c r="M556" s="11"/>
      <c r="N556" s="11"/>
      <c r="O556" s="11"/>
      <c r="P556" s="11"/>
      <c r="Q556" s="11"/>
      <c r="R556" s="11">
        <v>75</v>
      </c>
      <c r="S556" s="11"/>
      <c r="T556" s="11"/>
      <c r="U556" s="11"/>
      <c r="V556" s="11"/>
      <c r="W556" s="11"/>
      <c r="X556" s="11">
        <v>26</v>
      </c>
      <c r="Y556" s="11"/>
      <c r="Z556" s="11"/>
      <c r="AA556" s="11"/>
      <c r="AB556" s="11"/>
      <c r="AC556" s="11">
        <v>86</v>
      </c>
      <c r="AD556" s="11"/>
      <c r="AE556" s="11"/>
      <c r="AF556" s="11">
        <v>15</v>
      </c>
      <c r="AG556" s="11"/>
      <c r="AH556" s="11"/>
      <c r="AI556" s="11"/>
      <c r="AJ556" s="11"/>
      <c r="AK556" s="11"/>
      <c r="AL556" s="11"/>
      <c r="AM556" s="11"/>
      <c r="AN556" s="11"/>
      <c r="AO556" s="11">
        <v>75</v>
      </c>
      <c r="AP556" s="11"/>
      <c r="AQ556" s="11"/>
      <c r="AR556" s="11">
        <v>26</v>
      </c>
      <c r="AS556" s="11"/>
      <c r="AT556" s="20" t="str">
        <f>HYPERLINK("http://www.openstreetmap.org/?mlat=34.6509&amp;mlon=43.8841&amp;zoom=12#map=12/34.6509/43.8841","Maplink1")</f>
        <v>Maplink1</v>
      </c>
      <c r="AU556" s="20" t="str">
        <f>HYPERLINK("https://www.google.iq/maps/search/+34.6509,43.8841/@34.6509,43.8841,14z?hl=en","Maplink2")</f>
        <v>Maplink2</v>
      </c>
      <c r="AV556" s="20" t="str">
        <f>HYPERLINK("http://www.bing.com/maps/?lvl=14&amp;sty=h&amp;cp=34.6509~43.8841&amp;sp=point.34.6509_43.8841","Maplink3")</f>
        <v>Maplink3</v>
      </c>
    </row>
    <row r="557" spans="1:48" s="19" customFormat="1" x14ac:dyDescent="0.25">
      <c r="A557" s="9">
        <v>24211</v>
      </c>
      <c r="B557" s="10" t="s">
        <v>22</v>
      </c>
      <c r="C557" s="10" t="s">
        <v>1015</v>
      </c>
      <c r="D557" s="10" t="s">
        <v>1185</v>
      </c>
      <c r="E557" s="10" t="s">
        <v>1186</v>
      </c>
      <c r="F557" s="10">
        <v>34.668674029999998</v>
      </c>
      <c r="G557" s="10">
        <v>43.876530959999997</v>
      </c>
      <c r="H557" s="11">
        <v>165</v>
      </c>
      <c r="I557" s="11">
        <v>990</v>
      </c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>
        <v>165</v>
      </c>
      <c r="Y557" s="11"/>
      <c r="Z557" s="11"/>
      <c r="AA557" s="11"/>
      <c r="AB557" s="11"/>
      <c r="AC557" s="11">
        <v>139</v>
      </c>
      <c r="AD557" s="11"/>
      <c r="AE557" s="11"/>
      <c r="AF557" s="11">
        <v>26</v>
      </c>
      <c r="AG557" s="11"/>
      <c r="AH557" s="11"/>
      <c r="AI557" s="11"/>
      <c r="AJ557" s="11"/>
      <c r="AK557" s="11"/>
      <c r="AL557" s="11"/>
      <c r="AM557" s="11"/>
      <c r="AN557" s="11"/>
      <c r="AO557" s="11"/>
      <c r="AP557" s="11">
        <v>150</v>
      </c>
      <c r="AQ557" s="11"/>
      <c r="AR557" s="11"/>
      <c r="AS557" s="11">
        <v>15</v>
      </c>
      <c r="AT557" s="20" t="str">
        <f>HYPERLINK("http://www.openstreetmap.org/?mlat=34.6687&amp;mlon=43.8765&amp;zoom=12#map=12/34.6687/43.8765","Maplink1")</f>
        <v>Maplink1</v>
      </c>
      <c r="AU557" s="20" t="str">
        <f>HYPERLINK("https://www.google.iq/maps/search/+34.6687,43.8765/@34.6687,43.8765,14z?hl=en","Maplink2")</f>
        <v>Maplink2</v>
      </c>
      <c r="AV557" s="20" t="str">
        <f>HYPERLINK("http://www.bing.com/maps/?lvl=14&amp;sty=h&amp;cp=34.6687~43.8765&amp;sp=point.34.6687_43.8765","Maplink3")</f>
        <v>Maplink3</v>
      </c>
    </row>
    <row r="558" spans="1:48" s="19" customFormat="1" x14ac:dyDescent="0.25">
      <c r="A558" s="9">
        <v>27231</v>
      </c>
      <c r="B558" s="10" t="s">
        <v>22</v>
      </c>
      <c r="C558" s="10" t="s">
        <v>1015</v>
      </c>
      <c r="D558" s="10" t="s">
        <v>1030</v>
      </c>
      <c r="E558" s="10" t="s">
        <v>1031</v>
      </c>
      <c r="F558" s="10">
        <v>34.668206650000002</v>
      </c>
      <c r="G558" s="10">
        <v>43.725524999999998</v>
      </c>
      <c r="H558" s="11">
        <v>250</v>
      </c>
      <c r="I558" s="11">
        <v>1500</v>
      </c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>
        <v>250</v>
      </c>
      <c r="Y558" s="11"/>
      <c r="Z558" s="11"/>
      <c r="AA558" s="11"/>
      <c r="AB558" s="11"/>
      <c r="AC558" s="11">
        <v>170</v>
      </c>
      <c r="AD558" s="11"/>
      <c r="AE558" s="11"/>
      <c r="AF558" s="11"/>
      <c r="AG558" s="11"/>
      <c r="AH558" s="11"/>
      <c r="AI558" s="11">
        <v>80</v>
      </c>
      <c r="AJ558" s="11"/>
      <c r="AK558" s="11"/>
      <c r="AL558" s="11"/>
      <c r="AM558" s="11"/>
      <c r="AN558" s="11">
        <v>150</v>
      </c>
      <c r="AO558" s="11">
        <v>100</v>
      </c>
      <c r="AP558" s="11"/>
      <c r="AQ558" s="11"/>
      <c r="AR558" s="11"/>
      <c r="AS558" s="11"/>
      <c r="AT558" s="20" t="str">
        <f>HYPERLINK("http://www.openstreetmap.org/?mlat=34.6682&amp;mlon=43.7255&amp;zoom=12#map=12/34.6682/43.7255","Maplink1")</f>
        <v>Maplink1</v>
      </c>
      <c r="AU558" s="20" t="str">
        <f>HYPERLINK("https://www.google.iq/maps/search/+34.6682,43.7255/@34.6682,43.7255,14z?hl=en","Maplink2")</f>
        <v>Maplink2</v>
      </c>
      <c r="AV558" s="20" t="str">
        <f>HYPERLINK("http://www.bing.com/maps/?lvl=14&amp;sty=h&amp;cp=34.6682~43.7255&amp;sp=point.34.6682_43.7255","Maplink3")</f>
        <v>Maplink3</v>
      </c>
    </row>
    <row r="559" spans="1:48" s="19" customFormat="1" x14ac:dyDescent="0.25">
      <c r="A559" s="9">
        <v>21357</v>
      </c>
      <c r="B559" s="10" t="s">
        <v>22</v>
      </c>
      <c r="C559" s="10" t="s">
        <v>1015</v>
      </c>
      <c r="D559" s="10" t="s">
        <v>1032</v>
      </c>
      <c r="E559" s="10" t="s">
        <v>1033</v>
      </c>
      <c r="F559" s="10">
        <v>34.458529130000002</v>
      </c>
      <c r="G559" s="10">
        <v>43.736130019999997</v>
      </c>
      <c r="H559" s="11">
        <v>1268</v>
      </c>
      <c r="I559" s="11">
        <v>7608</v>
      </c>
      <c r="J559" s="11"/>
      <c r="K559" s="11"/>
      <c r="L559" s="11">
        <v>57</v>
      </c>
      <c r="M559" s="11">
        <v>12</v>
      </c>
      <c r="N559" s="11">
        <v>55</v>
      </c>
      <c r="O559" s="11"/>
      <c r="P559" s="11">
        <v>225</v>
      </c>
      <c r="Q559" s="11"/>
      <c r="R559" s="11">
        <v>593</v>
      </c>
      <c r="S559" s="11"/>
      <c r="T559" s="11"/>
      <c r="U559" s="11"/>
      <c r="V559" s="11"/>
      <c r="W559" s="11"/>
      <c r="X559" s="11">
        <v>326</v>
      </c>
      <c r="Y559" s="11"/>
      <c r="Z559" s="11"/>
      <c r="AA559" s="11"/>
      <c r="AB559" s="11"/>
      <c r="AC559" s="11">
        <v>1205</v>
      </c>
      <c r="AD559" s="11"/>
      <c r="AE559" s="11"/>
      <c r="AF559" s="11"/>
      <c r="AG559" s="11"/>
      <c r="AH559" s="11"/>
      <c r="AI559" s="11">
        <v>63</v>
      </c>
      <c r="AJ559" s="11"/>
      <c r="AK559" s="11"/>
      <c r="AL559" s="11"/>
      <c r="AM559" s="11"/>
      <c r="AN559" s="11">
        <v>1268</v>
      </c>
      <c r="AO559" s="11"/>
      <c r="AP559" s="11"/>
      <c r="AQ559" s="11"/>
      <c r="AR559" s="11"/>
      <c r="AS559" s="11"/>
      <c r="AT559" s="20" t="str">
        <f>HYPERLINK("http://www.openstreetmap.org/?mlat=34.4585&amp;mlon=43.7361&amp;zoom=12#map=12/34.4585/43.7361","Maplink1")</f>
        <v>Maplink1</v>
      </c>
      <c r="AU559" s="20" t="str">
        <f>HYPERLINK("https://www.google.iq/maps/search/+34.4585,43.7361/@34.4585,43.7361,14z?hl=en","Maplink2")</f>
        <v>Maplink2</v>
      </c>
      <c r="AV559" s="20" t="str">
        <f>HYPERLINK("http://www.bing.com/maps/?lvl=14&amp;sty=h&amp;cp=34.4585~43.7361&amp;sp=point.34.4585_43.7361","Maplink3")</f>
        <v>Maplink3</v>
      </c>
    </row>
    <row r="560" spans="1:48" s="19" customFormat="1" x14ac:dyDescent="0.25">
      <c r="A560" s="9">
        <v>29589</v>
      </c>
      <c r="B560" s="10" t="s">
        <v>22</v>
      </c>
      <c r="C560" s="10" t="s">
        <v>1015</v>
      </c>
      <c r="D560" s="10" t="s">
        <v>1034</v>
      </c>
      <c r="E560" s="10" t="s">
        <v>1035</v>
      </c>
      <c r="F560" s="10">
        <v>34.655555560000003</v>
      </c>
      <c r="G560" s="10">
        <v>43.713055560000001</v>
      </c>
      <c r="H560" s="11">
        <v>335</v>
      </c>
      <c r="I560" s="11">
        <v>2010</v>
      </c>
      <c r="J560" s="11"/>
      <c r="K560" s="11"/>
      <c r="L560" s="11">
        <v>24</v>
      </c>
      <c r="M560" s="11"/>
      <c r="N560" s="11"/>
      <c r="O560" s="11"/>
      <c r="P560" s="11">
        <v>50</v>
      </c>
      <c r="Q560" s="11"/>
      <c r="R560" s="11">
        <v>35</v>
      </c>
      <c r="S560" s="11"/>
      <c r="T560" s="11"/>
      <c r="U560" s="11"/>
      <c r="V560" s="11"/>
      <c r="W560" s="11"/>
      <c r="X560" s="11">
        <v>220</v>
      </c>
      <c r="Y560" s="11">
        <v>6</v>
      </c>
      <c r="Z560" s="11"/>
      <c r="AA560" s="11"/>
      <c r="AB560" s="11"/>
      <c r="AC560" s="11">
        <v>335</v>
      </c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>
        <v>150</v>
      </c>
      <c r="AO560" s="11">
        <v>130</v>
      </c>
      <c r="AP560" s="11">
        <v>55</v>
      </c>
      <c r="AQ560" s="11"/>
      <c r="AR560" s="11"/>
      <c r="AS560" s="11"/>
      <c r="AT560" s="20" t="str">
        <f>HYPERLINK("http://www.openstreetmap.org/?mlat=34.6556&amp;mlon=43.7131&amp;zoom=12#map=12/34.6556/43.7131","Maplink1")</f>
        <v>Maplink1</v>
      </c>
      <c r="AU560" s="20" t="str">
        <f>HYPERLINK("https://www.google.iq/maps/search/+34.6556,43.7131/@34.6556,43.7131,14z?hl=en","Maplink2")</f>
        <v>Maplink2</v>
      </c>
      <c r="AV560" s="20" t="str">
        <f>HYPERLINK("http://www.bing.com/maps/?lvl=14&amp;sty=h&amp;cp=34.6556~43.7131&amp;sp=point.34.6556_43.7131","Maplink3")</f>
        <v>Maplink3</v>
      </c>
    </row>
    <row r="561" spans="1:48" s="19" customFormat="1" x14ac:dyDescent="0.25">
      <c r="A561" s="9">
        <v>20642</v>
      </c>
      <c r="B561" s="10" t="s">
        <v>22</v>
      </c>
      <c r="C561" s="10" t="s">
        <v>1015</v>
      </c>
      <c r="D561" s="10" t="s">
        <v>1187</v>
      </c>
      <c r="E561" s="10" t="s">
        <v>1022</v>
      </c>
      <c r="F561" s="10">
        <v>34.690297870000002</v>
      </c>
      <c r="G561" s="10">
        <v>43.624409999999997</v>
      </c>
      <c r="H561" s="11">
        <v>145</v>
      </c>
      <c r="I561" s="11">
        <v>870</v>
      </c>
      <c r="J561" s="11"/>
      <c r="K561" s="11"/>
      <c r="L561" s="11"/>
      <c r="M561" s="11"/>
      <c r="N561" s="11"/>
      <c r="O561" s="11"/>
      <c r="P561" s="11">
        <v>4</v>
      </c>
      <c r="Q561" s="11"/>
      <c r="R561" s="11">
        <v>100</v>
      </c>
      <c r="S561" s="11"/>
      <c r="T561" s="11"/>
      <c r="U561" s="11"/>
      <c r="V561" s="11"/>
      <c r="W561" s="11"/>
      <c r="X561" s="11">
        <v>33</v>
      </c>
      <c r="Y561" s="11">
        <v>8</v>
      </c>
      <c r="Z561" s="11"/>
      <c r="AA561" s="11"/>
      <c r="AB561" s="11"/>
      <c r="AC561" s="11">
        <v>145</v>
      </c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>
        <v>112</v>
      </c>
      <c r="AO561" s="11"/>
      <c r="AP561" s="11">
        <v>8</v>
      </c>
      <c r="AQ561" s="11"/>
      <c r="AR561" s="11"/>
      <c r="AS561" s="11">
        <v>25</v>
      </c>
      <c r="AT561" s="20" t="str">
        <f>HYPERLINK("http://www.openstreetmap.org/?mlat=34.6903&amp;mlon=43.6244&amp;zoom=12#map=12/34.6903/43.6244","Maplink1")</f>
        <v>Maplink1</v>
      </c>
      <c r="AU561" s="20" t="str">
        <f>HYPERLINK("https://www.google.iq/maps/search/+34.6903,43.6244/@34.6903,43.6244,14z?hl=en","Maplink2")</f>
        <v>Maplink2</v>
      </c>
      <c r="AV561" s="20" t="str">
        <f>HYPERLINK("http://www.bing.com/maps/?lvl=14&amp;sty=h&amp;cp=34.6903~43.6244&amp;sp=point.34.6903_43.6244","Maplink3")</f>
        <v>Maplink3</v>
      </c>
    </row>
    <row r="562" spans="1:48" s="19" customFormat="1" x14ac:dyDescent="0.25">
      <c r="A562" s="9">
        <v>23525</v>
      </c>
      <c r="B562" s="10" t="s">
        <v>22</v>
      </c>
      <c r="C562" s="10" t="s">
        <v>1015</v>
      </c>
      <c r="D562" s="10" t="s">
        <v>1036</v>
      </c>
      <c r="E562" s="10" t="s">
        <v>1037</v>
      </c>
      <c r="F562" s="10">
        <v>34.69476908</v>
      </c>
      <c r="G562" s="10">
        <v>43.634281430000001</v>
      </c>
      <c r="H562" s="11">
        <v>18</v>
      </c>
      <c r="I562" s="11">
        <v>108</v>
      </c>
      <c r="J562" s="11"/>
      <c r="K562" s="11"/>
      <c r="L562" s="11"/>
      <c r="M562" s="11"/>
      <c r="N562" s="11"/>
      <c r="O562" s="11"/>
      <c r="P562" s="11"/>
      <c r="Q562" s="11"/>
      <c r="R562" s="11">
        <v>18</v>
      </c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>
        <v>18</v>
      </c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>
        <v>18</v>
      </c>
      <c r="AO562" s="11"/>
      <c r="AP562" s="11"/>
      <c r="AQ562" s="11"/>
      <c r="AR562" s="11"/>
      <c r="AS562" s="11"/>
      <c r="AT562" s="20" t="str">
        <f>HYPERLINK("http://www.openstreetmap.org/?mlat=34.6948&amp;mlon=43.6343&amp;zoom=12#map=12/34.6948/43.6343","Maplink1")</f>
        <v>Maplink1</v>
      </c>
      <c r="AU562" s="20" t="str">
        <f>HYPERLINK("https://www.google.iq/maps/search/+34.6948,43.6343/@34.6948,43.6343,14z?hl=en","Maplink2")</f>
        <v>Maplink2</v>
      </c>
      <c r="AV562" s="20" t="str">
        <f>HYPERLINK("http://www.bing.com/maps/?lvl=14&amp;sty=h&amp;cp=34.6948~43.6343&amp;sp=point.34.6948_43.6343","Maplink3")</f>
        <v>Maplink3</v>
      </c>
    </row>
    <row r="563" spans="1:48" s="19" customFormat="1" x14ac:dyDescent="0.25">
      <c r="A563" s="9">
        <v>28419</v>
      </c>
      <c r="B563" s="10" t="s">
        <v>22</v>
      </c>
      <c r="C563" s="10" t="s">
        <v>1015</v>
      </c>
      <c r="D563" s="10" t="s">
        <v>1038</v>
      </c>
      <c r="E563" s="10" t="s">
        <v>1039</v>
      </c>
      <c r="F563" s="10">
        <v>34.725397030000003</v>
      </c>
      <c r="G563" s="10">
        <v>43.595723679999999</v>
      </c>
      <c r="H563" s="11">
        <v>130</v>
      </c>
      <c r="I563" s="11">
        <v>780</v>
      </c>
      <c r="J563" s="11"/>
      <c r="K563" s="11"/>
      <c r="L563" s="11"/>
      <c r="M563" s="11"/>
      <c r="N563" s="11"/>
      <c r="O563" s="11"/>
      <c r="P563" s="11"/>
      <c r="Q563" s="11"/>
      <c r="R563" s="11">
        <v>130</v>
      </c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>
        <v>80</v>
      </c>
      <c r="AD563" s="11"/>
      <c r="AE563" s="11"/>
      <c r="AF563" s="11">
        <v>50</v>
      </c>
      <c r="AG563" s="11"/>
      <c r="AH563" s="11"/>
      <c r="AI563" s="11"/>
      <c r="AJ563" s="11"/>
      <c r="AK563" s="11"/>
      <c r="AL563" s="11"/>
      <c r="AM563" s="11"/>
      <c r="AN563" s="11">
        <v>130</v>
      </c>
      <c r="AO563" s="11"/>
      <c r="AP563" s="11"/>
      <c r="AQ563" s="11"/>
      <c r="AR563" s="11"/>
      <c r="AS563" s="11"/>
      <c r="AT563" s="20" t="str">
        <f>HYPERLINK("http://www.openstreetmap.org/?mlat=34.7254&amp;mlon=43.5957&amp;zoom=12#map=12/34.7254/43.5957","Maplink1")</f>
        <v>Maplink1</v>
      </c>
      <c r="AU563" s="20" t="str">
        <f>HYPERLINK("https://www.google.iq/maps/search/+34.7254,43.5957/@34.7254,43.5957,14z?hl=en","Maplink2")</f>
        <v>Maplink2</v>
      </c>
      <c r="AV563" s="20" t="str">
        <f>HYPERLINK("http://www.bing.com/maps/?lvl=14&amp;sty=h&amp;cp=34.7254~43.5957&amp;sp=point.34.7254_43.5957","Maplink3")</f>
        <v>Maplink3</v>
      </c>
    </row>
    <row r="564" spans="1:48" s="19" customFormat="1" x14ac:dyDescent="0.25">
      <c r="A564" s="9">
        <v>23918</v>
      </c>
      <c r="B564" s="10" t="s">
        <v>22</v>
      </c>
      <c r="C564" s="10" t="s">
        <v>1015</v>
      </c>
      <c r="D564" s="10" t="s">
        <v>1040</v>
      </c>
      <c r="E564" s="10" t="s">
        <v>1041</v>
      </c>
      <c r="F564" s="10">
        <v>34.627451280000002</v>
      </c>
      <c r="G564" s="10">
        <v>43.669864750000002</v>
      </c>
      <c r="H564" s="11">
        <v>755</v>
      </c>
      <c r="I564" s="11">
        <v>4530</v>
      </c>
      <c r="J564" s="11"/>
      <c r="K564" s="11"/>
      <c r="L564" s="11">
        <v>28</v>
      </c>
      <c r="M564" s="11"/>
      <c r="N564" s="11">
        <v>2</v>
      </c>
      <c r="O564" s="11"/>
      <c r="P564" s="11">
        <v>200</v>
      </c>
      <c r="Q564" s="11"/>
      <c r="R564" s="11">
        <v>206</v>
      </c>
      <c r="S564" s="11"/>
      <c r="T564" s="11"/>
      <c r="U564" s="11"/>
      <c r="V564" s="11"/>
      <c r="W564" s="11"/>
      <c r="X564" s="11">
        <v>211</v>
      </c>
      <c r="Y564" s="11">
        <v>108</v>
      </c>
      <c r="Z564" s="11"/>
      <c r="AA564" s="11"/>
      <c r="AB564" s="11"/>
      <c r="AC564" s="11">
        <v>685</v>
      </c>
      <c r="AD564" s="11">
        <v>70</v>
      </c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>
        <v>300</v>
      </c>
      <c r="AP564" s="11">
        <v>200</v>
      </c>
      <c r="AQ564" s="11">
        <v>40</v>
      </c>
      <c r="AR564" s="11">
        <v>182</v>
      </c>
      <c r="AS564" s="11">
        <v>33</v>
      </c>
      <c r="AT564" s="20" t="str">
        <f>HYPERLINK("http://www.openstreetmap.org/?mlat=34.6275&amp;mlon=43.6699&amp;zoom=12#map=12/34.6275/43.6699","Maplink1")</f>
        <v>Maplink1</v>
      </c>
      <c r="AU564" s="20" t="str">
        <f>HYPERLINK("https://www.google.iq/maps/search/+34.6275,43.6699/@34.6275,43.6699,14z?hl=en","Maplink2")</f>
        <v>Maplink2</v>
      </c>
      <c r="AV564" s="20" t="str">
        <f>HYPERLINK("http://www.bing.com/maps/?lvl=14&amp;sty=h&amp;cp=34.6275~43.6699&amp;sp=point.34.6275_43.6699","Maplink3")</f>
        <v>Maplink3</v>
      </c>
    </row>
    <row r="565" spans="1:48" s="19" customFormat="1" x14ac:dyDescent="0.25">
      <c r="A565" s="9">
        <v>20631</v>
      </c>
      <c r="B565" s="10" t="s">
        <v>22</v>
      </c>
      <c r="C565" s="10" t="s">
        <v>1015</v>
      </c>
      <c r="D565" s="10" t="s">
        <v>1188</v>
      </c>
      <c r="E565" s="10" t="s">
        <v>1029</v>
      </c>
      <c r="F565" s="10">
        <v>34.694068590000001</v>
      </c>
      <c r="G565" s="10">
        <v>43.617256380000001</v>
      </c>
      <c r="H565" s="11">
        <v>43</v>
      </c>
      <c r="I565" s="11">
        <v>258</v>
      </c>
      <c r="J565" s="11"/>
      <c r="K565" s="11"/>
      <c r="L565" s="11"/>
      <c r="M565" s="11"/>
      <c r="N565" s="11"/>
      <c r="O565" s="11"/>
      <c r="P565" s="11">
        <v>8</v>
      </c>
      <c r="Q565" s="11"/>
      <c r="R565" s="11">
        <v>35</v>
      </c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>
        <v>43</v>
      </c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>
        <v>43</v>
      </c>
      <c r="AO565" s="11"/>
      <c r="AP565" s="11"/>
      <c r="AQ565" s="11"/>
      <c r="AR565" s="11"/>
      <c r="AS565" s="11"/>
      <c r="AT565" s="20" t="str">
        <f>HYPERLINK("http://www.openstreetmap.org/?mlat=34.6941&amp;mlon=43.6173&amp;zoom=12#map=12/34.6941/43.6173","Maplink1")</f>
        <v>Maplink1</v>
      </c>
      <c r="AU565" s="20" t="str">
        <f>HYPERLINK("https://www.google.iq/maps/search/+34.6941,43.6173/@34.6941,43.6173,14z?hl=en","Maplink2")</f>
        <v>Maplink2</v>
      </c>
      <c r="AV565" s="20" t="str">
        <f>HYPERLINK("http://www.bing.com/maps/?lvl=14&amp;sty=h&amp;cp=34.6941~43.6173&amp;sp=point.34.6941_43.6173","Maplink3")</f>
        <v>Maplink3</v>
      </c>
    </row>
    <row r="566" spans="1:48" s="19" customFormat="1" x14ac:dyDescent="0.25">
      <c r="A566" s="9">
        <v>20630</v>
      </c>
      <c r="B566" s="10" t="s">
        <v>22</v>
      </c>
      <c r="C566" s="10" t="s">
        <v>1015</v>
      </c>
      <c r="D566" s="10" t="s">
        <v>1042</v>
      </c>
      <c r="E566" s="10" t="s">
        <v>1043</v>
      </c>
      <c r="F566" s="10">
        <v>34.7006576</v>
      </c>
      <c r="G566" s="10">
        <v>43.616456999999997</v>
      </c>
      <c r="H566" s="11">
        <v>218</v>
      </c>
      <c r="I566" s="11">
        <v>1308</v>
      </c>
      <c r="J566" s="11"/>
      <c r="K566" s="11"/>
      <c r="L566" s="11"/>
      <c r="M566" s="11"/>
      <c r="N566" s="11"/>
      <c r="O566" s="11"/>
      <c r="P566" s="11">
        <v>11</v>
      </c>
      <c r="Q566" s="11"/>
      <c r="R566" s="11">
        <v>198</v>
      </c>
      <c r="S566" s="11"/>
      <c r="T566" s="11"/>
      <c r="U566" s="11"/>
      <c r="V566" s="11"/>
      <c r="W566" s="11"/>
      <c r="X566" s="11">
        <v>9</v>
      </c>
      <c r="Y566" s="11"/>
      <c r="Z566" s="11"/>
      <c r="AA566" s="11"/>
      <c r="AB566" s="11"/>
      <c r="AC566" s="11">
        <v>218</v>
      </c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>
        <v>218</v>
      </c>
      <c r="AO566" s="11"/>
      <c r="AP566" s="11"/>
      <c r="AQ566" s="11"/>
      <c r="AR566" s="11"/>
      <c r="AS566" s="11"/>
      <c r="AT566" s="20" t="str">
        <f>HYPERLINK("http://www.openstreetmap.org/?mlat=34.7007&amp;mlon=43.6165&amp;zoom=12#map=12/34.7007/43.6165","Maplink1")</f>
        <v>Maplink1</v>
      </c>
      <c r="AU566" s="20" t="str">
        <f>HYPERLINK("https://www.google.iq/maps/search/+34.7007,43.6165/@34.7007,43.6165,14z?hl=en","Maplink2")</f>
        <v>Maplink2</v>
      </c>
      <c r="AV566" s="20" t="str">
        <f>HYPERLINK("http://www.bing.com/maps/?lvl=14&amp;sty=h&amp;cp=34.7007~43.6165&amp;sp=point.34.7007_43.6165","Maplink3")</f>
        <v>Maplink3</v>
      </c>
    </row>
    <row r="567" spans="1:48" s="19" customFormat="1" x14ac:dyDescent="0.25">
      <c r="A567" s="9">
        <v>25984</v>
      </c>
      <c r="B567" s="10" t="s">
        <v>22</v>
      </c>
      <c r="C567" s="10" t="s">
        <v>1015</v>
      </c>
      <c r="D567" s="10" t="s">
        <v>1044</v>
      </c>
      <c r="E567" s="10" t="s">
        <v>1045</v>
      </c>
      <c r="F567" s="10">
        <v>34.787411599999999</v>
      </c>
      <c r="G567" s="10">
        <v>43.626029209999999</v>
      </c>
      <c r="H567" s="11">
        <v>200</v>
      </c>
      <c r="I567" s="11">
        <v>1200</v>
      </c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>
        <v>200</v>
      </c>
      <c r="Y567" s="11"/>
      <c r="Z567" s="11"/>
      <c r="AA567" s="11"/>
      <c r="AB567" s="11"/>
      <c r="AC567" s="11">
        <v>200</v>
      </c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>
        <v>200</v>
      </c>
      <c r="AQ567" s="11"/>
      <c r="AR567" s="11"/>
      <c r="AS567" s="11"/>
      <c r="AT567" s="20" t="str">
        <f>HYPERLINK("http://www.openstreetmap.org/?mlat=34.7874&amp;mlon=43.626&amp;zoom=12#map=12/34.7874/43.626","Maplink1")</f>
        <v>Maplink1</v>
      </c>
      <c r="AU567" s="20" t="str">
        <f>HYPERLINK("https://www.google.iq/maps/search/+34.7874,43.626/@34.7874,43.626,14z?hl=en","Maplink2")</f>
        <v>Maplink2</v>
      </c>
      <c r="AV567" s="20" t="str">
        <f>HYPERLINK("http://www.bing.com/maps/?lvl=14&amp;sty=h&amp;cp=34.7874~43.626&amp;sp=point.34.7874_43.626","Maplink3")</f>
        <v>Maplink3</v>
      </c>
    </row>
    <row r="568" spans="1:48" s="19" customFormat="1" x14ac:dyDescent="0.25">
      <c r="A568" s="9">
        <v>24248</v>
      </c>
      <c r="B568" s="10" t="s">
        <v>22</v>
      </c>
      <c r="C568" s="10" t="s">
        <v>1015</v>
      </c>
      <c r="D568" s="10" t="s">
        <v>1046</v>
      </c>
      <c r="E568" s="10" t="s">
        <v>1047</v>
      </c>
      <c r="F568" s="10">
        <v>34.66514471</v>
      </c>
      <c r="G568" s="10">
        <v>43.721737060000002</v>
      </c>
      <c r="H568" s="11">
        <v>855</v>
      </c>
      <c r="I568" s="11">
        <v>5130</v>
      </c>
      <c r="J568" s="11"/>
      <c r="K568" s="11"/>
      <c r="L568" s="11"/>
      <c r="M568" s="11"/>
      <c r="N568" s="11"/>
      <c r="O568" s="11"/>
      <c r="P568" s="11"/>
      <c r="Q568" s="11"/>
      <c r="R568" s="11">
        <v>280</v>
      </c>
      <c r="S568" s="11"/>
      <c r="T568" s="11"/>
      <c r="U568" s="11"/>
      <c r="V568" s="11"/>
      <c r="W568" s="11"/>
      <c r="X568" s="11">
        <v>425</v>
      </c>
      <c r="Y568" s="11">
        <v>150</v>
      </c>
      <c r="Z568" s="11"/>
      <c r="AA568" s="11"/>
      <c r="AB568" s="11"/>
      <c r="AC568" s="11">
        <v>855</v>
      </c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>
        <v>530</v>
      </c>
      <c r="AP568" s="11">
        <v>325</v>
      </c>
      <c r="AQ568" s="11"/>
      <c r="AR568" s="11"/>
      <c r="AS568" s="11"/>
      <c r="AT568" s="20" t="str">
        <f>HYPERLINK("http://www.openstreetmap.org/?mlat=34.6651&amp;mlon=43.7217&amp;zoom=12#map=12/34.6651/43.7217","Maplink1")</f>
        <v>Maplink1</v>
      </c>
      <c r="AU568" s="20" t="str">
        <f>HYPERLINK("https://www.google.iq/maps/search/+34.6651,43.7217/@34.6651,43.7217,14z?hl=en","Maplink2")</f>
        <v>Maplink2</v>
      </c>
      <c r="AV568" s="20" t="str">
        <f>HYPERLINK("http://www.bing.com/maps/?lvl=14&amp;sty=h&amp;cp=34.6651~43.7217&amp;sp=point.34.6651_43.7217","Maplink3")</f>
        <v>Maplink3</v>
      </c>
    </row>
    <row r="569" spans="1:48" s="19" customFormat="1" x14ac:dyDescent="0.25">
      <c r="A569" s="9">
        <v>23527</v>
      </c>
      <c r="B569" s="10" t="s">
        <v>22</v>
      </c>
      <c r="C569" s="10" t="s">
        <v>1015</v>
      </c>
      <c r="D569" s="10" t="s">
        <v>1048</v>
      </c>
      <c r="E569" s="10" t="s">
        <v>1189</v>
      </c>
      <c r="F569" s="10">
        <v>34.828764</v>
      </c>
      <c r="G569" s="10">
        <v>43.910207999999997</v>
      </c>
      <c r="H569" s="11">
        <v>289</v>
      </c>
      <c r="I569" s="11">
        <v>1734</v>
      </c>
      <c r="J569" s="11"/>
      <c r="K569" s="11"/>
      <c r="L569" s="11"/>
      <c r="M569" s="11"/>
      <c r="N569" s="11"/>
      <c r="O569" s="11"/>
      <c r="P569" s="11">
        <v>14</v>
      </c>
      <c r="Q569" s="11"/>
      <c r="R569" s="11">
        <v>275</v>
      </c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>
        <v>275</v>
      </c>
      <c r="AD569" s="11">
        <v>7</v>
      </c>
      <c r="AE569" s="11"/>
      <c r="AF569" s="11"/>
      <c r="AG569" s="11"/>
      <c r="AH569" s="11"/>
      <c r="AI569" s="11">
        <v>7</v>
      </c>
      <c r="AJ569" s="11"/>
      <c r="AK569" s="11"/>
      <c r="AL569" s="11"/>
      <c r="AM569" s="11"/>
      <c r="AN569" s="11"/>
      <c r="AO569" s="11">
        <v>14</v>
      </c>
      <c r="AP569" s="11">
        <v>275</v>
      </c>
      <c r="AQ569" s="11"/>
      <c r="AR569" s="11"/>
      <c r="AS569" s="11"/>
      <c r="AT569" s="20" t="str">
        <f>HYPERLINK("http://www.openstreetmap.org/?mlat=34.8288&amp;mlon=43.9102&amp;zoom=12#map=12/34.8288/43.9102","Maplink1")</f>
        <v>Maplink1</v>
      </c>
      <c r="AU569" s="20" t="str">
        <f>HYPERLINK("https://www.google.iq/maps/search/+34.8288,43.9102/@34.8288,43.9102,14z?hl=en","Maplink2")</f>
        <v>Maplink2</v>
      </c>
      <c r="AV569" s="20" t="str">
        <f>HYPERLINK("http://www.bing.com/maps/?lvl=14&amp;sty=h&amp;cp=34.8288~43.9102&amp;sp=point.34.8288_43.9102","Maplink3")</f>
        <v>Maplink3</v>
      </c>
    </row>
    <row r="570" spans="1:48" s="19" customFormat="1" x14ac:dyDescent="0.25">
      <c r="A570" s="9">
        <v>20618</v>
      </c>
      <c r="B570" s="10" t="s">
        <v>22</v>
      </c>
      <c r="C570" s="10" t="s">
        <v>1015</v>
      </c>
      <c r="D570" s="10" t="s">
        <v>1190</v>
      </c>
      <c r="E570" s="10" t="s">
        <v>1049</v>
      </c>
      <c r="F570" s="10">
        <v>34.700995800000001</v>
      </c>
      <c r="G570" s="10">
        <v>43.616550400000001</v>
      </c>
      <c r="H570" s="11">
        <v>255</v>
      </c>
      <c r="I570" s="11">
        <v>1530</v>
      </c>
      <c r="J570" s="11"/>
      <c r="K570" s="11"/>
      <c r="L570" s="11">
        <v>44</v>
      </c>
      <c r="M570" s="11"/>
      <c r="N570" s="11"/>
      <c r="O570" s="11">
        <v>2</v>
      </c>
      <c r="P570" s="11">
        <v>13</v>
      </c>
      <c r="Q570" s="11"/>
      <c r="R570" s="11">
        <v>179</v>
      </c>
      <c r="S570" s="11"/>
      <c r="T570" s="11"/>
      <c r="U570" s="11"/>
      <c r="V570" s="11"/>
      <c r="W570" s="11"/>
      <c r="X570" s="11">
        <v>11</v>
      </c>
      <c r="Y570" s="11">
        <v>6</v>
      </c>
      <c r="Z570" s="11"/>
      <c r="AA570" s="11"/>
      <c r="AB570" s="11"/>
      <c r="AC570" s="11">
        <v>255</v>
      </c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>
        <v>251</v>
      </c>
      <c r="AO570" s="11"/>
      <c r="AP570" s="11">
        <v>3</v>
      </c>
      <c r="AQ570" s="11"/>
      <c r="AR570" s="11">
        <v>1</v>
      </c>
      <c r="AS570" s="11"/>
      <c r="AT570" s="20" t="str">
        <f>HYPERLINK("http://www.openstreetmap.org/?mlat=34.701&amp;mlon=43.6166&amp;zoom=12#map=12/34.701/43.6166","Maplink1")</f>
        <v>Maplink1</v>
      </c>
      <c r="AU570" s="20" t="str">
        <f>HYPERLINK("https://www.google.iq/maps/search/+34.701,43.6166/@34.701,43.6166,14z?hl=en","Maplink2")</f>
        <v>Maplink2</v>
      </c>
      <c r="AV570" s="20" t="str">
        <f>HYPERLINK("http://www.bing.com/maps/?lvl=14&amp;sty=h&amp;cp=34.701~43.6166&amp;sp=point.34.701_43.6166","Maplink3")</f>
        <v>Maplink3</v>
      </c>
    </row>
    <row r="571" spans="1:48" s="19" customFormat="1" x14ac:dyDescent="0.25">
      <c r="A571" s="9">
        <v>23301</v>
      </c>
      <c r="B571" s="10" t="s">
        <v>22</v>
      </c>
      <c r="C571" s="10" t="s">
        <v>1015</v>
      </c>
      <c r="D571" s="10" t="s">
        <v>1191</v>
      </c>
      <c r="E571" s="10" t="s">
        <v>1192</v>
      </c>
      <c r="F571" s="10">
        <v>34.573701999999997</v>
      </c>
      <c r="G571" s="10">
        <v>43.6828547</v>
      </c>
      <c r="H571" s="11">
        <v>480</v>
      </c>
      <c r="I571" s="11">
        <v>2880</v>
      </c>
      <c r="J571" s="11"/>
      <c r="K571" s="11"/>
      <c r="L571" s="11">
        <v>37</v>
      </c>
      <c r="M571" s="11"/>
      <c r="N571" s="11">
        <v>25</v>
      </c>
      <c r="O571" s="11"/>
      <c r="P571" s="11">
        <v>140</v>
      </c>
      <c r="Q571" s="11"/>
      <c r="R571" s="11">
        <v>181</v>
      </c>
      <c r="S571" s="11"/>
      <c r="T571" s="11"/>
      <c r="U571" s="11"/>
      <c r="V571" s="11"/>
      <c r="W571" s="11"/>
      <c r="X571" s="11">
        <v>65</v>
      </c>
      <c r="Y571" s="11">
        <v>32</v>
      </c>
      <c r="Z571" s="11"/>
      <c r="AA571" s="11"/>
      <c r="AB571" s="11"/>
      <c r="AC571" s="11">
        <v>447</v>
      </c>
      <c r="AD571" s="11"/>
      <c r="AE571" s="11"/>
      <c r="AF571" s="11"/>
      <c r="AG571" s="11"/>
      <c r="AH571" s="11"/>
      <c r="AI571" s="11">
        <v>33</v>
      </c>
      <c r="AJ571" s="11"/>
      <c r="AK571" s="11"/>
      <c r="AL571" s="11"/>
      <c r="AM571" s="11"/>
      <c r="AN571" s="11">
        <v>250</v>
      </c>
      <c r="AO571" s="11">
        <v>200</v>
      </c>
      <c r="AP571" s="11">
        <v>25</v>
      </c>
      <c r="AQ571" s="11"/>
      <c r="AR571" s="11"/>
      <c r="AS571" s="11">
        <v>5</v>
      </c>
      <c r="AT571" s="20" t="str">
        <f>HYPERLINK("http://www.openstreetmap.org/?mlat=34.5737&amp;mlon=43.6829&amp;zoom=12#map=12/34.5737/43.6829","Maplink1")</f>
        <v>Maplink1</v>
      </c>
      <c r="AU571" s="20" t="str">
        <f>HYPERLINK("https://www.google.iq/maps/search/+34.5737,43.6829/@34.5737,43.6829,14z?hl=en","Maplink2")</f>
        <v>Maplink2</v>
      </c>
      <c r="AV571" s="20" t="str">
        <f>HYPERLINK("http://www.bing.com/maps/?lvl=14&amp;sty=h&amp;cp=34.5737~43.6829&amp;sp=point.34.5737_43.6829","Maplink3")</f>
        <v>Maplink3</v>
      </c>
    </row>
    <row r="572" spans="1:48" s="19" customFormat="1" x14ac:dyDescent="0.25">
      <c r="A572" s="9">
        <v>25961</v>
      </c>
      <c r="B572" s="10" t="s">
        <v>22</v>
      </c>
      <c r="C572" s="10" t="s">
        <v>1015</v>
      </c>
      <c r="D572" s="10" t="s">
        <v>1193</v>
      </c>
      <c r="E572" s="10" t="s">
        <v>1061</v>
      </c>
      <c r="F572" s="10">
        <v>34.593416900000001</v>
      </c>
      <c r="G572" s="10">
        <v>43.677529309999997</v>
      </c>
      <c r="H572" s="11">
        <v>413</v>
      </c>
      <c r="I572" s="11">
        <v>2478</v>
      </c>
      <c r="J572" s="11"/>
      <c r="K572" s="11"/>
      <c r="L572" s="11"/>
      <c r="M572" s="11"/>
      <c r="N572" s="11"/>
      <c r="O572" s="11"/>
      <c r="P572" s="11">
        <v>112</v>
      </c>
      <c r="Q572" s="11"/>
      <c r="R572" s="11">
        <v>174</v>
      </c>
      <c r="S572" s="11"/>
      <c r="T572" s="11"/>
      <c r="U572" s="11"/>
      <c r="V572" s="11"/>
      <c r="W572" s="11"/>
      <c r="X572" s="11">
        <v>127</v>
      </c>
      <c r="Y572" s="11"/>
      <c r="Z572" s="11"/>
      <c r="AA572" s="11"/>
      <c r="AB572" s="11"/>
      <c r="AC572" s="11">
        <v>368</v>
      </c>
      <c r="AD572" s="11"/>
      <c r="AE572" s="11"/>
      <c r="AF572" s="11"/>
      <c r="AG572" s="11"/>
      <c r="AH572" s="11"/>
      <c r="AI572" s="11">
        <v>45</v>
      </c>
      <c r="AJ572" s="11"/>
      <c r="AK572" s="11"/>
      <c r="AL572" s="11"/>
      <c r="AM572" s="11"/>
      <c r="AN572" s="11">
        <v>283</v>
      </c>
      <c r="AO572" s="11">
        <v>70</v>
      </c>
      <c r="AP572" s="11">
        <v>60</v>
      </c>
      <c r="AQ572" s="11"/>
      <c r="AR572" s="11"/>
      <c r="AS572" s="11"/>
      <c r="AT572" s="20" t="str">
        <f>HYPERLINK("http://www.openstreetmap.org/?mlat=34.5934&amp;mlon=43.6775&amp;zoom=12#map=12/34.5934/43.6775","Maplink1")</f>
        <v>Maplink1</v>
      </c>
      <c r="AU572" s="20" t="str">
        <f>HYPERLINK("https://www.google.iq/maps/search/+34.5934,43.6775/@34.5934,43.6775,14z?hl=en","Maplink2")</f>
        <v>Maplink2</v>
      </c>
      <c r="AV572" s="20" t="str">
        <f>HYPERLINK("http://www.bing.com/maps/?lvl=14&amp;sty=h&amp;cp=34.5934~43.6775&amp;sp=point.34.5934_43.6775","Maplink3")</f>
        <v>Maplink3</v>
      </c>
    </row>
    <row r="573" spans="1:48" s="19" customFormat="1" x14ac:dyDescent="0.25">
      <c r="A573" s="9">
        <v>23244</v>
      </c>
      <c r="B573" s="10" t="s">
        <v>22</v>
      </c>
      <c r="C573" s="10" t="s">
        <v>1015</v>
      </c>
      <c r="D573" s="10" t="s">
        <v>1194</v>
      </c>
      <c r="E573" s="10" t="s">
        <v>126</v>
      </c>
      <c r="F573" s="10">
        <v>34.6864536</v>
      </c>
      <c r="G573" s="10">
        <v>43.716350300000002</v>
      </c>
      <c r="H573" s="11">
        <v>292</v>
      </c>
      <c r="I573" s="11">
        <v>1752</v>
      </c>
      <c r="J573" s="11"/>
      <c r="K573" s="11"/>
      <c r="L573" s="11">
        <v>14</v>
      </c>
      <c r="M573" s="11"/>
      <c r="N573" s="11"/>
      <c r="O573" s="11"/>
      <c r="P573" s="11">
        <v>29</v>
      </c>
      <c r="Q573" s="11"/>
      <c r="R573" s="11">
        <v>116</v>
      </c>
      <c r="S573" s="11"/>
      <c r="T573" s="11"/>
      <c r="U573" s="11"/>
      <c r="V573" s="11"/>
      <c r="W573" s="11"/>
      <c r="X573" s="11">
        <v>133</v>
      </c>
      <c r="Y573" s="11"/>
      <c r="Z573" s="11"/>
      <c r="AA573" s="11"/>
      <c r="AB573" s="11"/>
      <c r="AC573" s="11">
        <v>280</v>
      </c>
      <c r="AD573" s="11"/>
      <c r="AE573" s="11"/>
      <c r="AF573" s="11"/>
      <c r="AG573" s="11"/>
      <c r="AH573" s="11"/>
      <c r="AI573" s="11">
        <v>12</v>
      </c>
      <c r="AJ573" s="11"/>
      <c r="AK573" s="11"/>
      <c r="AL573" s="11"/>
      <c r="AM573" s="11"/>
      <c r="AN573" s="11">
        <v>280</v>
      </c>
      <c r="AO573" s="11">
        <v>12</v>
      </c>
      <c r="AP573" s="11"/>
      <c r="AQ573" s="11"/>
      <c r="AR573" s="11"/>
      <c r="AS573" s="11"/>
      <c r="AT573" s="20" t="str">
        <f>HYPERLINK("http://www.openstreetmap.org/?mlat=34.6865&amp;mlon=43.7164&amp;zoom=12#map=12/34.6865/43.7164","Maplink1")</f>
        <v>Maplink1</v>
      </c>
      <c r="AU573" s="20" t="str">
        <f>HYPERLINK("https://www.google.iq/maps/search/+34.6865,43.7164/@34.6865,43.7164,14z?hl=en","Maplink2")</f>
        <v>Maplink2</v>
      </c>
      <c r="AV573" s="20" t="str">
        <f>HYPERLINK("http://www.bing.com/maps/?lvl=14&amp;sty=h&amp;cp=34.6865~43.7164&amp;sp=point.34.6865_43.7164","Maplink3")</f>
        <v>Maplink3</v>
      </c>
    </row>
    <row r="574" spans="1:48" s="19" customFormat="1" x14ac:dyDescent="0.25">
      <c r="A574" s="9">
        <v>23206</v>
      </c>
      <c r="B574" s="10" t="s">
        <v>22</v>
      </c>
      <c r="C574" s="10" t="s">
        <v>1015</v>
      </c>
      <c r="D574" s="10" t="s">
        <v>1050</v>
      </c>
      <c r="E574" s="10" t="s">
        <v>1195</v>
      </c>
      <c r="F574" s="10">
        <v>34.602993669999996</v>
      </c>
      <c r="G574" s="10">
        <v>43.677188630000003</v>
      </c>
      <c r="H574" s="11">
        <v>424</v>
      </c>
      <c r="I574" s="11">
        <v>2544</v>
      </c>
      <c r="J574" s="11"/>
      <c r="K574" s="11"/>
      <c r="L574" s="11">
        <v>72</v>
      </c>
      <c r="M574" s="11"/>
      <c r="N574" s="11">
        <v>18</v>
      </c>
      <c r="O574" s="11"/>
      <c r="P574" s="11">
        <v>55</v>
      </c>
      <c r="Q574" s="11"/>
      <c r="R574" s="11">
        <v>185</v>
      </c>
      <c r="S574" s="11"/>
      <c r="T574" s="11"/>
      <c r="U574" s="11"/>
      <c r="V574" s="11"/>
      <c r="W574" s="11"/>
      <c r="X574" s="11">
        <v>55</v>
      </c>
      <c r="Y574" s="11">
        <v>39</v>
      </c>
      <c r="Z574" s="11"/>
      <c r="AA574" s="11"/>
      <c r="AB574" s="11"/>
      <c r="AC574" s="11">
        <v>389</v>
      </c>
      <c r="AD574" s="11"/>
      <c r="AE574" s="11"/>
      <c r="AF574" s="11"/>
      <c r="AG574" s="11"/>
      <c r="AH574" s="11"/>
      <c r="AI574" s="11">
        <v>35</v>
      </c>
      <c r="AJ574" s="11"/>
      <c r="AK574" s="11"/>
      <c r="AL574" s="11"/>
      <c r="AM574" s="11"/>
      <c r="AN574" s="11">
        <v>350</v>
      </c>
      <c r="AO574" s="11">
        <v>65</v>
      </c>
      <c r="AP574" s="11">
        <v>4</v>
      </c>
      <c r="AQ574" s="11"/>
      <c r="AR574" s="11"/>
      <c r="AS574" s="11">
        <v>5</v>
      </c>
      <c r="AT574" s="20" t="str">
        <f>HYPERLINK("http://www.openstreetmap.org/?mlat=34.603&amp;mlon=43.6772&amp;zoom=12#map=12/34.603/43.6772","Maplink1")</f>
        <v>Maplink1</v>
      </c>
      <c r="AU574" s="20" t="str">
        <f>HYPERLINK("https://www.google.iq/maps/search/+34.603,43.6772/@34.603,43.6772,14z?hl=en","Maplink2")</f>
        <v>Maplink2</v>
      </c>
      <c r="AV574" s="20" t="str">
        <f>HYPERLINK("http://www.bing.com/maps/?lvl=14&amp;sty=h&amp;cp=34.603~43.6772&amp;sp=point.34.603_43.6772","Maplink3")</f>
        <v>Maplink3</v>
      </c>
    </row>
    <row r="575" spans="1:48" s="19" customFormat="1" x14ac:dyDescent="0.25">
      <c r="A575" s="9">
        <v>24247</v>
      </c>
      <c r="B575" s="10" t="s">
        <v>22</v>
      </c>
      <c r="C575" s="10" t="s">
        <v>1015</v>
      </c>
      <c r="D575" s="10" t="s">
        <v>1051</v>
      </c>
      <c r="E575" s="10" t="s">
        <v>1052</v>
      </c>
      <c r="F575" s="10">
        <v>34.691659899999998</v>
      </c>
      <c r="G575" s="10">
        <v>43.710122949999999</v>
      </c>
      <c r="H575" s="11">
        <v>45</v>
      </c>
      <c r="I575" s="11">
        <v>270</v>
      </c>
      <c r="J575" s="11"/>
      <c r="K575" s="11"/>
      <c r="L575" s="11"/>
      <c r="M575" s="11"/>
      <c r="N575" s="11"/>
      <c r="O575" s="11"/>
      <c r="P575" s="11"/>
      <c r="Q575" s="11"/>
      <c r="R575" s="11">
        <v>45</v>
      </c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>
        <v>45</v>
      </c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>
        <v>45</v>
      </c>
      <c r="AP575" s="11"/>
      <c r="AQ575" s="11"/>
      <c r="AR575" s="11"/>
      <c r="AS575" s="11"/>
      <c r="AT575" s="20" t="str">
        <f>HYPERLINK("http://www.openstreetmap.org/?mlat=34.6917&amp;mlon=43.7101&amp;zoom=12#map=12/34.6917/43.7101","Maplink1")</f>
        <v>Maplink1</v>
      </c>
      <c r="AU575" s="20" t="str">
        <f>HYPERLINK("https://www.google.iq/maps/search/+34.6917,43.7101/@34.6917,43.7101,14z?hl=en","Maplink2")</f>
        <v>Maplink2</v>
      </c>
      <c r="AV575" s="20" t="str">
        <f>HYPERLINK("http://www.bing.com/maps/?lvl=14&amp;sty=h&amp;cp=34.6917~43.7101&amp;sp=point.34.6917_43.7101","Maplink3")</f>
        <v>Maplink3</v>
      </c>
    </row>
    <row r="576" spans="1:48" s="19" customFormat="1" x14ac:dyDescent="0.25">
      <c r="A576" s="9">
        <v>22331</v>
      </c>
      <c r="B576" s="10" t="s">
        <v>22</v>
      </c>
      <c r="C576" s="10" t="s">
        <v>1015</v>
      </c>
      <c r="D576" s="10" t="s">
        <v>1196</v>
      </c>
      <c r="E576" s="10" t="s">
        <v>1197</v>
      </c>
      <c r="F576" s="10">
        <v>34.611737460000001</v>
      </c>
      <c r="G576" s="10">
        <v>43.673758929999998</v>
      </c>
      <c r="H576" s="11">
        <v>505</v>
      </c>
      <c r="I576" s="11">
        <v>3030</v>
      </c>
      <c r="J576" s="11"/>
      <c r="K576" s="11"/>
      <c r="L576" s="11">
        <v>6</v>
      </c>
      <c r="M576" s="11"/>
      <c r="N576" s="11"/>
      <c r="O576" s="11"/>
      <c r="P576" s="11">
        <v>115</v>
      </c>
      <c r="Q576" s="11"/>
      <c r="R576" s="11">
        <v>257</v>
      </c>
      <c r="S576" s="11"/>
      <c r="T576" s="11"/>
      <c r="U576" s="11"/>
      <c r="V576" s="11"/>
      <c r="W576" s="11"/>
      <c r="X576" s="11">
        <v>52</v>
      </c>
      <c r="Y576" s="11">
        <v>75</v>
      </c>
      <c r="Z576" s="11"/>
      <c r="AA576" s="11"/>
      <c r="AB576" s="11"/>
      <c r="AC576" s="11">
        <v>484</v>
      </c>
      <c r="AD576" s="11"/>
      <c r="AE576" s="11"/>
      <c r="AF576" s="11"/>
      <c r="AG576" s="11"/>
      <c r="AH576" s="11"/>
      <c r="AI576" s="11">
        <v>21</v>
      </c>
      <c r="AJ576" s="11"/>
      <c r="AK576" s="11"/>
      <c r="AL576" s="11"/>
      <c r="AM576" s="11"/>
      <c r="AN576" s="11">
        <v>5</v>
      </c>
      <c r="AO576" s="11">
        <v>430</v>
      </c>
      <c r="AP576" s="11">
        <v>70</v>
      </c>
      <c r="AQ576" s="11"/>
      <c r="AR576" s="11"/>
      <c r="AS576" s="11"/>
      <c r="AT576" s="20" t="str">
        <f>HYPERLINK("http://www.openstreetmap.org/?mlat=34.6117&amp;mlon=43.6738&amp;zoom=12#map=12/34.6117/43.6738","Maplink1")</f>
        <v>Maplink1</v>
      </c>
      <c r="AU576" s="20" t="str">
        <f>HYPERLINK("https://www.google.iq/maps/search/+34.6117,43.6738/@34.6117,43.6738,14z?hl=en","Maplink2")</f>
        <v>Maplink2</v>
      </c>
      <c r="AV576" s="20" t="str">
        <f>HYPERLINK("http://www.bing.com/maps/?lvl=14&amp;sty=h&amp;cp=34.6117~43.6738&amp;sp=point.34.6117_43.6738","Maplink3")</f>
        <v>Maplink3</v>
      </c>
    </row>
    <row r="577" spans="1:48" s="19" customFormat="1" x14ac:dyDescent="0.25">
      <c r="A577" s="9">
        <v>20638</v>
      </c>
      <c r="B577" s="10" t="s">
        <v>22</v>
      </c>
      <c r="C577" s="10" t="s">
        <v>1015</v>
      </c>
      <c r="D577" s="10" t="s">
        <v>127</v>
      </c>
      <c r="E577" s="10" t="s">
        <v>128</v>
      </c>
      <c r="F577" s="10">
        <v>34.633057360000002</v>
      </c>
      <c r="G577" s="10">
        <v>43.667286799999999</v>
      </c>
      <c r="H577" s="11">
        <v>800</v>
      </c>
      <c r="I577" s="11">
        <v>4800</v>
      </c>
      <c r="J577" s="11"/>
      <c r="K577" s="11"/>
      <c r="L577" s="11">
        <v>43</v>
      </c>
      <c r="M577" s="11"/>
      <c r="N577" s="11">
        <v>27</v>
      </c>
      <c r="O577" s="11"/>
      <c r="P577" s="11">
        <v>235</v>
      </c>
      <c r="Q577" s="11"/>
      <c r="R577" s="11">
        <v>390</v>
      </c>
      <c r="S577" s="11"/>
      <c r="T577" s="11"/>
      <c r="U577" s="11"/>
      <c r="V577" s="11"/>
      <c r="W577" s="11"/>
      <c r="X577" s="11">
        <v>55</v>
      </c>
      <c r="Y577" s="11">
        <v>50</v>
      </c>
      <c r="Z577" s="11"/>
      <c r="AA577" s="11"/>
      <c r="AB577" s="11"/>
      <c r="AC577" s="11">
        <v>570</v>
      </c>
      <c r="AD577" s="11"/>
      <c r="AE577" s="11"/>
      <c r="AF577" s="11"/>
      <c r="AG577" s="11"/>
      <c r="AH577" s="11"/>
      <c r="AI577" s="11">
        <v>230</v>
      </c>
      <c r="AJ577" s="11"/>
      <c r="AK577" s="11"/>
      <c r="AL577" s="11"/>
      <c r="AM577" s="11"/>
      <c r="AN577" s="11">
        <v>365</v>
      </c>
      <c r="AO577" s="11">
        <v>335</v>
      </c>
      <c r="AP577" s="11">
        <v>100</v>
      </c>
      <c r="AQ577" s="11"/>
      <c r="AR577" s="11"/>
      <c r="AS577" s="11"/>
      <c r="AT577" s="20" t="str">
        <f>HYPERLINK("http://www.openstreetmap.org/?mlat=34.6331&amp;mlon=43.6673&amp;zoom=12#map=12/34.6331/43.6673","Maplink1")</f>
        <v>Maplink1</v>
      </c>
      <c r="AU577" s="20" t="str">
        <f>HYPERLINK("https://www.google.iq/maps/search/+34.6331,43.6673/@34.6331,43.6673,14z?hl=en","Maplink2")</f>
        <v>Maplink2</v>
      </c>
      <c r="AV577" s="20" t="str">
        <f>HYPERLINK("http://www.bing.com/maps/?lvl=14&amp;sty=h&amp;cp=34.6331~43.6673&amp;sp=point.34.6331_43.6673","Maplink3")</f>
        <v>Maplink3</v>
      </c>
    </row>
    <row r="578" spans="1:48" s="19" customFormat="1" x14ac:dyDescent="0.25">
      <c r="A578" s="9">
        <v>20608</v>
      </c>
      <c r="B578" s="10" t="s">
        <v>22</v>
      </c>
      <c r="C578" s="10" t="s">
        <v>1015</v>
      </c>
      <c r="D578" s="10" t="s">
        <v>1053</v>
      </c>
      <c r="E578" s="10" t="s">
        <v>1198</v>
      </c>
      <c r="F578" s="10">
        <v>34.6975962</v>
      </c>
      <c r="G578" s="10">
        <v>43.718533999999998</v>
      </c>
      <c r="H578" s="11">
        <v>775</v>
      </c>
      <c r="I578" s="11">
        <v>4650</v>
      </c>
      <c r="J578" s="11"/>
      <c r="K578" s="11"/>
      <c r="L578" s="11"/>
      <c r="M578" s="11"/>
      <c r="N578" s="11"/>
      <c r="O578" s="11"/>
      <c r="P578" s="11"/>
      <c r="Q578" s="11"/>
      <c r="R578" s="11">
        <v>775</v>
      </c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>
        <v>770</v>
      </c>
      <c r="AD578" s="11"/>
      <c r="AE578" s="11"/>
      <c r="AF578" s="11"/>
      <c r="AG578" s="11"/>
      <c r="AH578" s="11"/>
      <c r="AI578" s="11">
        <v>5</v>
      </c>
      <c r="AJ578" s="11"/>
      <c r="AK578" s="11"/>
      <c r="AL578" s="11"/>
      <c r="AM578" s="11">
        <v>5</v>
      </c>
      <c r="AN578" s="11"/>
      <c r="AO578" s="11">
        <v>420</v>
      </c>
      <c r="AP578" s="11">
        <v>350</v>
      </c>
      <c r="AQ578" s="11"/>
      <c r="AR578" s="11"/>
      <c r="AS578" s="11"/>
      <c r="AT578" s="20" t="str">
        <f>HYPERLINK("http://www.openstreetmap.org/?mlat=34.6976&amp;mlon=43.7185&amp;zoom=12#map=12/34.6976/43.7185","Maplink1")</f>
        <v>Maplink1</v>
      </c>
      <c r="AU578" s="20" t="str">
        <f>HYPERLINK("https://www.google.iq/maps/search/+34.6976,43.7185/@34.6976,43.7185,14z?hl=en","Maplink2")</f>
        <v>Maplink2</v>
      </c>
      <c r="AV578" s="20" t="str">
        <f>HYPERLINK("http://www.bing.com/maps/?lvl=14&amp;sty=h&amp;cp=34.6976~43.7185&amp;sp=point.34.6976_43.7185","Maplink3")</f>
        <v>Maplink3</v>
      </c>
    </row>
    <row r="579" spans="1:48" s="19" customFormat="1" x14ac:dyDescent="0.25">
      <c r="A579" s="9">
        <v>25960</v>
      </c>
      <c r="B579" s="10" t="s">
        <v>22</v>
      </c>
      <c r="C579" s="10" t="s">
        <v>1015</v>
      </c>
      <c r="D579" s="10" t="s">
        <v>1199</v>
      </c>
      <c r="E579" s="10" t="s">
        <v>1064</v>
      </c>
      <c r="F579" s="10">
        <v>34.595911000000001</v>
      </c>
      <c r="G579" s="10">
        <v>43.673602029999998</v>
      </c>
      <c r="H579" s="11">
        <v>1153</v>
      </c>
      <c r="I579" s="11">
        <v>6918</v>
      </c>
      <c r="J579" s="11"/>
      <c r="K579" s="11"/>
      <c r="L579" s="11">
        <v>36</v>
      </c>
      <c r="M579" s="11"/>
      <c r="N579" s="11">
        <v>7</v>
      </c>
      <c r="O579" s="11"/>
      <c r="P579" s="11">
        <v>289</v>
      </c>
      <c r="Q579" s="11"/>
      <c r="R579" s="11">
        <v>355</v>
      </c>
      <c r="S579" s="11"/>
      <c r="T579" s="11"/>
      <c r="U579" s="11"/>
      <c r="V579" s="11"/>
      <c r="W579" s="11"/>
      <c r="X579" s="11">
        <v>443</v>
      </c>
      <c r="Y579" s="11">
        <v>23</v>
      </c>
      <c r="Z579" s="11"/>
      <c r="AA579" s="11"/>
      <c r="AB579" s="11"/>
      <c r="AC579" s="11">
        <v>553</v>
      </c>
      <c r="AD579" s="11"/>
      <c r="AE579" s="11"/>
      <c r="AF579" s="11"/>
      <c r="AG579" s="11"/>
      <c r="AH579" s="11"/>
      <c r="AI579" s="11">
        <v>600</v>
      </c>
      <c r="AJ579" s="11"/>
      <c r="AK579" s="11"/>
      <c r="AL579" s="11"/>
      <c r="AM579" s="11"/>
      <c r="AN579" s="11">
        <v>509</v>
      </c>
      <c r="AO579" s="11">
        <v>450</v>
      </c>
      <c r="AP579" s="11">
        <v>188</v>
      </c>
      <c r="AQ579" s="11"/>
      <c r="AR579" s="11"/>
      <c r="AS579" s="11">
        <v>6</v>
      </c>
      <c r="AT579" s="20" t="str">
        <f>HYPERLINK("http://www.openstreetmap.org/?mlat=34.5959&amp;mlon=43.6736&amp;zoom=12#map=12/34.5959/43.6736","Maplink1")</f>
        <v>Maplink1</v>
      </c>
      <c r="AU579" s="20" t="str">
        <f>HYPERLINK("https://www.google.iq/maps/search/+34.5959,43.6736/@34.5959,43.6736,14z?hl=en","Maplink2")</f>
        <v>Maplink2</v>
      </c>
      <c r="AV579" s="20" t="str">
        <f>HYPERLINK("http://www.bing.com/maps/?lvl=14&amp;sty=h&amp;cp=34.5959~43.6736&amp;sp=point.34.5959_43.6736","Maplink3")</f>
        <v>Maplink3</v>
      </c>
    </row>
    <row r="580" spans="1:48" s="19" customFormat="1" x14ac:dyDescent="0.25">
      <c r="A580" s="9">
        <v>22812</v>
      </c>
      <c r="B580" s="10" t="s">
        <v>22</v>
      </c>
      <c r="C580" s="10" t="s">
        <v>1015</v>
      </c>
      <c r="D580" s="10" t="s">
        <v>1200</v>
      </c>
      <c r="E580" s="10" t="s">
        <v>1201</v>
      </c>
      <c r="F580" s="10">
        <v>34.607597720000001</v>
      </c>
      <c r="G580" s="10">
        <v>43.675257209999998</v>
      </c>
      <c r="H580" s="11">
        <v>740</v>
      </c>
      <c r="I580" s="11">
        <v>4440</v>
      </c>
      <c r="J580" s="11"/>
      <c r="K580" s="11"/>
      <c r="L580" s="11">
        <v>18</v>
      </c>
      <c r="M580" s="11"/>
      <c r="N580" s="11"/>
      <c r="O580" s="11"/>
      <c r="P580" s="11">
        <v>229</v>
      </c>
      <c r="Q580" s="11"/>
      <c r="R580" s="11">
        <v>307</v>
      </c>
      <c r="S580" s="11"/>
      <c r="T580" s="11"/>
      <c r="U580" s="11"/>
      <c r="V580" s="11"/>
      <c r="W580" s="11"/>
      <c r="X580" s="11">
        <v>37</v>
      </c>
      <c r="Y580" s="11">
        <v>149</v>
      </c>
      <c r="Z580" s="11"/>
      <c r="AA580" s="11"/>
      <c r="AB580" s="11"/>
      <c r="AC580" s="11">
        <v>740</v>
      </c>
      <c r="AD580" s="11"/>
      <c r="AE580" s="11"/>
      <c r="AF580" s="11"/>
      <c r="AG580" s="11"/>
      <c r="AH580" s="11"/>
      <c r="AI580" s="11"/>
      <c r="AJ580" s="11"/>
      <c r="AK580" s="11"/>
      <c r="AL580" s="11"/>
      <c r="AM580" s="11">
        <v>15</v>
      </c>
      <c r="AN580" s="11">
        <v>685</v>
      </c>
      <c r="AO580" s="11">
        <v>40</v>
      </c>
      <c r="AP580" s="11"/>
      <c r="AQ580" s="11"/>
      <c r="AR580" s="11"/>
      <c r="AS580" s="11"/>
      <c r="AT580" s="20" t="str">
        <f>HYPERLINK("http://www.openstreetmap.org/?mlat=34.6076&amp;mlon=43.6753&amp;zoom=12#map=12/34.6076/43.6753","Maplink1")</f>
        <v>Maplink1</v>
      </c>
      <c r="AU580" s="20" t="str">
        <f>HYPERLINK("https://www.google.iq/maps/search/+34.6076,43.6753/@34.6076,43.6753,14z?hl=en","Maplink2")</f>
        <v>Maplink2</v>
      </c>
      <c r="AV580" s="20" t="str">
        <f>HYPERLINK("http://www.bing.com/maps/?lvl=14&amp;sty=h&amp;cp=34.6076~43.6753&amp;sp=point.34.6076_43.6753","Maplink3")</f>
        <v>Maplink3</v>
      </c>
    </row>
    <row r="581" spans="1:48" s="19" customFormat="1" x14ac:dyDescent="0.25">
      <c r="A581" s="9">
        <v>21592</v>
      </c>
      <c r="B581" s="10" t="s">
        <v>22</v>
      </c>
      <c r="C581" s="10" t="s">
        <v>1015</v>
      </c>
      <c r="D581" s="10" t="s">
        <v>1054</v>
      </c>
      <c r="E581" s="10" t="s">
        <v>1202</v>
      </c>
      <c r="F581" s="10">
        <v>34.71238906</v>
      </c>
      <c r="G581" s="10">
        <v>43.706515959999997</v>
      </c>
      <c r="H581" s="11">
        <v>765</v>
      </c>
      <c r="I581" s="11">
        <v>4590</v>
      </c>
      <c r="J581" s="11"/>
      <c r="K581" s="11"/>
      <c r="L581" s="11"/>
      <c r="M581" s="11"/>
      <c r="N581" s="11"/>
      <c r="O581" s="11"/>
      <c r="P581" s="11">
        <v>200</v>
      </c>
      <c r="Q581" s="11"/>
      <c r="R581" s="11">
        <v>415</v>
      </c>
      <c r="S581" s="11"/>
      <c r="T581" s="11"/>
      <c r="U581" s="11"/>
      <c r="V581" s="11"/>
      <c r="W581" s="11"/>
      <c r="X581" s="11">
        <v>150</v>
      </c>
      <c r="Y581" s="11"/>
      <c r="Z581" s="11"/>
      <c r="AA581" s="11"/>
      <c r="AB581" s="11"/>
      <c r="AC581" s="11">
        <v>765</v>
      </c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>
        <v>615</v>
      </c>
      <c r="AO581" s="11"/>
      <c r="AP581" s="11">
        <v>150</v>
      </c>
      <c r="AQ581" s="11"/>
      <c r="AR581" s="11"/>
      <c r="AS581" s="11"/>
      <c r="AT581" s="20" t="str">
        <f>HYPERLINK("http://www.openstreetmap.org/?mlat=34.7124&amp;mlon=43.7065&amp;zoom=12#map=12/34.7124/43.7065","Maplink1")</f>
        <v>Maplink1</v>
      </c>
      <c r="AU581" s="20" t="str">
        <f>HYPERLINK("https://www.google.iq/maps/search/+34.7124,43.7065/@34.7124,43.7065,14z?hl=en","Maplink2")</f>
        <v>Maplink2</v>
      </c>
      <c r="AV581" s="20" t="str">
        <f>HYPERLINK("http://www.bing.com/maps/?lvl=14&amp;sty=h&amp;cp=34.7124~43.7065&amp;sp=point.34.7124_43.7065","Maplink3")</f>
        <v>Maplink3</v>
      </c>
    </row>
    <row r="582" spans="1:48" s="19" customFormat="1" x14ac:dyDescent="0.25">
      <c r="A582" s="9">
        <v>22468</v>
      </c>
      <c r="B582" s="10" t="s">
        <v>22</v>
      </c>
      <c r="C582" s="10" t="s">
        <v>1015</v>
      </c>
      <c r="D582" s="10" t="s">
        <v>1203</v>
      </c>
      <c r="E582" s="10" t="s">
        <v>1204</v>
      </c>
      <c r="F582" s="10">
        <v>34.587520099999999</v>
      </c>
      <c r="G582" s="10">
        <v>43.673181399999997</v>
      </c>
      <c r="H582" s="11">
        <v>1300</v>
      </c>
      <c r="I582" s="11">
        <v>7800</v>
      </c>
      <c r="J582" s="11"/>
      <c r="K582" s="11"/>
      <c r="L582" s="11">
        <v>23</v>
      </c>
      <c r="M582" s="11"/>
      <c r="N582" s="11"/>
      <c r="O582" s="11"/>
      <c r="P582" s="11">
        <v>377</v>
      </c>
      <c r="Q582" s="11"/>
      <c r="R582" s="11">
        <v>753</v>
      </c>
      <c r="S582" s="11"/>
      <c r="T582" s="11"/>
      <c r="U582" s="11"/>
      <c r="V582" s="11">
        <v>3</v>
      </c>
      <c r="W582" s="11"/>
      <c r="X582" s="11">
        <v>42</v>
      </c>
      <c r="Y582" s="11">
        <v>102</v>
      </c>
      <c r="Z582" s="11"/>
      <c r="AA582" s="11"/>
      <c r="AB582" s="11"/>
      <c r="AC582" s="11">
        <v>1242</v>
      </c>
      <c r="AD582" s="11"/>
      <c r="AE582" s="11"/>
      <c r="AF582" s="11"/>
      <c r="AG582" s="11"/>
      <c r="AH582" s="11"/>
      <c r="AI582" s="11">
        <v>58</v>
      </c>
      <c r="AJ582" s="11"/>
      <c r="AK582" s="11"/>
      <c r="AL582" s="11"/>
      <c r="AM582" s="11"/>
      <c r="AN582" s="11">
        <v>888</v>
      </c>
      <c r="AO582" s="11">
        <v>364</v>
      </c>
      <c r="AP582" s="11">
        <v>13</v>
      </c>
      <c r="AQ582" s="11"/>
      <c r="AR582" s="11"/>
      <c r="AS582" s="11">
        <v>35</v>
      </c>
      <c r="AT582" s="20" t="str">
        <f>HYPERLINK("http://www.openstreetmap.org/?mlat=34.5875&amp;mlon=43.6732&amp;zoom=12#map=12/34.5875/43.6732","Maplink1")</f>
        <v>Maplink1</v>
      </c>
      <c r="AU582" s="20" t="str">
        <f>HYPERLINK("https://www.google.iq/maps/search/+34.5875,43.6732/@34.5875,43.6732,14z?hl=en","Maplink2")</f>
        <v>Maplink2</v>
      </c>
      <c r="AV582" s="20" t="str">
        <f>HYPERLINK("http://www.bing.com/maps/?lvl=14&amp;sty=h&amp;cp=34.5875~43.6732&amp;sp=point.34.5875_43.6732","Maplink3")</f>
        <v>Maplink3</v>
      </c>
    </row>
    <row r="583" spans="1:48" s="19" customFormat="1" x14ac:dyDescent="0.25">
      <c r="A583" s="9">
        <v>28412</v>
      </c>
      <c r="B583" s="10" t="s">
        <v>22</v>
      </c>
      <c r="C583" s="10" t="s">
        <v>1015</v>
      </c>
      <c r="D583" s="10" t="s">
        <v>1056</v>
      </c>
      <c r="E583" s="10" t="s">
        <v>1057</v>
      </c>
      <c r="F583" s="10">
        <v>34.602280720000003</v>
      </c>
      <c r="G583" s="10">
        <v>43.671030809999998</v>
      </c>
      <c r="H583" s="11">
        <v>118</v>
      </c>
      <c r="I583" s="11">
        <v>708</v>
      </c>
      <c r="J583" s="11"/>
      <c r="K583" s="11"/>
      <c r="L583" s="11"/>
      <c r="M583" s="11"/>
      <c r="N583" s="11"/>
      <c r="O583" s="11"/>
      <c r="P583" s="11"/>
      <c r="Q583" s="11"/>
      <c r="R583" s="11">
        <v>3</v>
      </c>
      <c r="S583" s="11"/>
      <c r="T583" s="11"/>
      <c r="U583" s="11"/>
      <c r="V583" s="11"/>
      <c r="W583" s="11"/>
      <c r="X583" s="11">
        <v>115</v>
      </c>
      <c r="Y583" s="11"/>
      <c r="Z583" s="11"/>
      <c r="AA583" s="11"/>
      <c r="AB583" s="11"/>
      <c r="AC583" s="11">
        <v>90</v>
      </c>
      <c r="AD583" s="11"/>
      <c r="AE583" s="11"/>
      <c r="AF583" s="11"/>
      <c r="AG583" s="11"/>
      <c r="AH583" s="11"/>
      <c r="AI583" s="11">
        <v>28</v>
      </c>
      <c r="AJ583" s="11"/>
      <c r="AK583" s="11"/>
      <c r="AL583" s="11"/>
      <c r="AM583" s="11"/>
      <c r="AN583" s="11">
        <v>75</v>
      </c>
      <c r="AO583" s="11">
        <v>23</v>
      </c>
      <c r="AP583" s="11">
        <v>20</v>
      </c>
      <c r="AQ583" s="11"/>
      <c r="AR583" s="11"/>
      <c r="AS583" s="11"/>
      <c r="AT583" s="20" t="str">
        <f>HYPERLINK("http://www.openstreetmap.org/?mlat=34.6023&amp;mlon=43.671&amp;zoom=12#map=12/34.6023/43.671","Maplink1")</f>
        <v>Maplink1</v>
      </c>
      <c r="AU583" s="20" t="str">
        <f>HYPERLINK("https://www.google.iq/maps/search/+34.6023,43.671/@34.6023,43.671,14z?hl=en","Maplink2")</f>
        <v>Maplink2</v>
      </c>
      <c r="AV583" s="20" t="str">
        <f>HYPERLINK("http://www.bing.com/maps/?lvl=14&amp;sty=h&amp;cp=34.6023~43.671&amp;sp=point.34.6023_43.671","Maplink3")</f>
        <v>Maplink3</v>
      </c>
    </row>
    <row r="584" spans="1:48" s="19" customFormat="1" x14ac:dyDescent="0.25">
      <c r="A584" s="9">
        <v>28478</v>
      </c>
      <c r="B584" s="10" t="s">
        <v>22</v>
      </c>
      <c r="C584" s="10" t="s">
        <v>1015</v>
      </c>
      <c r="D584" s="10" t="s">
        <v>1058</v>
      </c>
      <c r="E584" s="10" t="s">
        <v>842</v>
      </c>
      <c r="F584" s="10">
        <v>34.596666710000001</v>
      </c>
      <c r="G584" s="10">
        <v>43.673562429999997</v>
      </c>
      <c r="H584" s="11">
        <v>206</v>
      </c>
      <c r="I584" s="11">
        <v>1236</v>
      </c>
      <c r="J584" s="11"/>
      <c r="K584" s="11"/>
      <c r="L584" s="11"/>
      <c r="M584" s="11"/>
      <c r="N584" s="11"/>
      <c r="O584" s="11"/>
      <c r="P584" s="11">
        <v>95</v>
      </c>
      <c r="Q584" s="11"/>
      <c r="R584" s="11">
        <v>105</v>
      </c>
      <c r="S584" s="11"/>
      <c r="T584" s="11"/>
      <c r="U584" s="11"/>
      <c r="V584" s="11"/>
      <c r="W584" s="11"/>
      <c r="X584" s="11">
        <v>6</v>
      </c>
      <c r="Y584" s="11"/>
      <c r="Z584" s="11"/>
      <c r="AA584" s="11"/>
      <c r="AB584" s="11"/>
      <c r="AC584" s="11">
        <v>185</v>
      </c>
      <c r="AD584" s="11"/>
      <c r="AE584" s="11"/>
      <c r="AF584" s="11"/>
      <c r="AG584" s="11"/>
      <c r="AH584" s="11"/>
      <c r="AI584" s="11">
        <v>21</v>
      </c>
      <c r="AJ584" s="11"/>
      <c r="AK584" s="11"/>
      <c r="AL584" s="11"/>
      <c r="AM584" s="11"/>
      <c r="AN584" s="11">
        <v>150</v>
      </c>
      <c r="AO584" s="11">
        <v>50</v>
      </c>
      <c r="AP584" s="11">
        <v>6</v>
      </c>
      <c r="AQ584" s="11"/>
      <c r="AR584" s="11"/>
      <c r="AS584" s="11"/>
      <c r="AT584" s="20" t="str">
        <f>HYPERLINK("http://www.openstreetmap.org/?mlat=34.5967&amp;mlon=43.6736&amp;zoom=12#map=12/34.5967/43.6736","Maplink1")</f>
        <v>Maplink1</v>
      </c>
      <c r="AU584" s="20" t="str">
        <f>HYPERLINK("https://www.google.iq/maps/search/+34.5967,43.6736/@34.5967,43.6736,14z?hl=en","Maplink2")</f>
        <v>Maplink2</v>
      </c>
      <c r="AV584" s="20" t="str">
        <f>HYPERLINK("http://www.bing.com/maps/?lvl=14&amp;sty=h&amp;cp=34.5967~43.6736&amp;sp=point.34.5967_43.6736","Maplink3")</f>
        <v>Maplink3</v>
      </c>
    </row>
    <row r="585" spans="1:48" s="19" customFormat="1" x14ac:dyDescent="0.25">
      <c r="A585" s="9">
        <v>20622</v>
      </c>
      <c r="B585" s="10" t="s">
        <v>22</v>
      </c>
      <c r="C585" s="10" t="s">
        <v>1015</v>
      </c>
      <c r="D585" s="10" t="s">
        <v>1205</v>
      </c>
      <c r="E585" s="10" t="s">
        <v>1055</v>
      </c>
      <c r="F585" s="10">
        <v>34.70311367</v>
      </c>
      <c r="G585" s="10">
        <v>43.612091700000001</v>
      </c>
      <c r="H585" s="11">
        <v>182</v>
      </c>
      <c r="I585" s="11">
        <v>1092</v>
      </c>
      <c r="J585" s="11"/>
      <c r="K585" s="11"/>
      <c r="L585" s="11">
        <v>36</v>
      </c>
      <c r="M585" s="11"/>
      <c r="N585" s="11">
        <v>5</v>
      </c>
      <c r="O585" s="11"/>
      <c r="P585" s="11"/>
      <c r="Q585" s="11"/>
      <c r="R585" s="11">
        <v>97</v>
      </c>
      <c r="S585" s="11"/>
      <c r="T585" s="11"/>
      <c r="U585" s="11"/>
      <c r="V585" s="11">
        <v>4</v>
      </c>
      <c r="W585" s="11"/>
      <c r="X585" s="11">
        <v>30</v>
      </c>
      <c r="Y585" s="11">
        <v>10</v>
      </c>
      <c r="Z585" s="11"/>
      <c r="AA585" s="11"/>
      <c r="AB585" s="11"/>
      <c r="AC585" s="11">
        <v>127</v>
      </c>
      <c r="AD585" s="11"/>
      <c r="AE585" s="11"/>
      <c r="AF585" s="11">
        <v>55</v>
      </c>
      <c r="AG585" s="11"/>
      <c r="AH585" s="11"/>
      <c r="AI585" s="11"/>
      <c r="AJ585" s="11"/>
      <c r="AK585" s="11"/>
      <c r="AL585" s="11"/>
      <c r="AM585" s="11"/>
      <c r="AN585" s="11">
        <v>182</v>
      </c>
      <c r="AO585" s="11"/>
      <c r="AP585" s="11"/>
      <c r="AQ585" s="11"/>
      <c r="AR585" s="11"/>
      <c r="AS585" s="11"/>
      <c r="AT585" s="20" t="str">
        <f>HYPERLINK("http://www.openstreetmap.org/?mlat=34.7031&amp;mlon=43.6121&amp;zoom=12#map=12/34.7031/43.6121","Maplink1")</f>
        <v>Maplink1</v>
      </c>
      <c r="AU585" s="20" t="str">
        <f>HYPERLINK("https://www.google.iq/maps/search/+34.7031,43.6121/@34.7031,43.6121,14z?hl=en","Maplink2")</f>
        <v>Maplink2</v>
      </c>
      <c r="AV585" s="20" t="str">
        <f>HYPERLINK("http://www.bing.com/maps/?lvl=14&amp;sty=h&amp;cp=34.7031~43.6121&amp;sp=point.34.7031_43.6121","Maplink3")</f>
        <v>Maplink3</v>
      </c>
    </row>
    <row r="586" spans="1:48" s="19" customFormat="1" x14ac:dyDescent="0.25">
      <c r="A586" s="9">
        <v>28413</v>
      </c>
      <c r="B586" s="10" t="s">
        <v>22</v>
      </c>
      <c r="C586" s="10" t="s">
        <v>1015</v>
      </c>
      <c r="D586" s="10" t="s">
        <v>1060</v>
      </c>
      <c r="E586" s="10" t="s">
        <v>106</v>
      </c>
      <c r="F586" s="10">
        <v>34.602280630000003</v>
      </c>
      <c r="G586" s="10">
        <v>43.669973949999999</v>
      </c>
      <c r="H586" s="11">
        <v>79</v>
      </c>
      <c r="I586" s="11">
        <v>474</v>
      </c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>
        <v>79</v>
      </c>
      <c r="Y586" s="11"/>
      <c r="Z586" s="11"/>
      <c r="AA586" s="11"/>
      <c r="AB586" s="11"/>
      <c r="AC586" s="11">
        <v>65</v>
      </c>
      <c r="AD586" s="11"/>
      <c r="AE586" s="11"/>
      <c r="AF586" s="11"/>
      <c r="AG586" s="11"/>
      <c r="AH586" s="11"/>
      <c r="AI586" s="11">
        <v>14</v>
      </c>
      <c r="AJ586" s="11"/>
      <c r="AK586" s="11"/>
      <c r="AL586" s="11"/>
      <c r="AM586" s="11"/>
      <c r="AN586" s="11">
        <v>50</v>
      </c>
      <c r="AO586" s="11">
        <v>20</v>
      </c>
      <c r="AP586" s="11">
        <v>9</v>
      </c>
      <c r="AQ586" s="11"/>
      <c r="AR586" s="11"/>
      <c r="AS586" s="11"/>
      <c r="AT586" s="20" t="str">
        <f>HYPERLINK("http://www.openstreetmap.org/?mlat=34.6023&amp;mlon=43.67&amp;zoom=12#map=12/34.6023/43.67","Maplink1")</f>
        <v>Maplink1</v>
      </c>
      <c r="AU586" s="20" t="str">
        <f>HYPERLINK("https://www.google.iq/maps/search/+34.6023,43.67/@34.6023,43.67,14z?hl=en","Maplink2")</f>
        <v>Maplink2</v>
      </c>
      <c r="AV586" s="20" t="str">
        <f>HYPERLINK("http://www.bing.com/maps/?lvl=14&amp;sty=h&amp;cp=34.6023~43.67&amp;sp=point.34.6023_43.67","Maplink3")</f>
        <v>Maplink3</v>
      </c>
    </row>
    <row r="587" spans="1:48" s="19" customFormat="1" x14ac:dyDescent="0.25">
      <c r="A587" s="9">
        <v>22058</v>
      </c>
      <c r="B587" s="10" t="s">
        <v>22</v>
      </c>
      <c r="C587" s="10" t="s">
        <v>1015</v>
      </c>
      <c r="D587" s="10" t="s">
        <v>1206</v>
      </c>
      <c r="E587" s="10" t="s">
        <v>1207</v>
      </c>
      <c r="F587" s="10">
        <v>34.600582269999997</v>
      </c>
      <c r="G587" s="10">
        <v>43.653466680000001</v>
      </c>
      <c r="H587" s="11">
        <v>626</v>
      </c>
      <c r="I587" s="11">
        <v>3756</v>
      </c>
      <c r="J587" s="11"/>
      <c r="K587" s="11"/>
      <c r="L587" s="11">
        <v>25</v>
      </c>
      <c r="M587" s="11"/>
      <c r="N587" s="11"/>
      <c r="O587" s="11"/>
      <c r="P587" s="11">
        <v>122</v>
      </c>
      <c r="Q587" s="11"/>
      <c r="R587" s="11">
        <v>365</v>
      </c>
      <c r="S587" s="11"/>
      <c r="T587" s="11"/>
      <c r="U587" s="11"/>
      <c r="V587" s="11">
        <v>3</v>
      </c>
      <c r="W587" s="11"/>
      <c r="X587" s="11">
        <v>80</v>
      </c>
      <c r="Y587" s="11">
        <v>31</v>
      </c>
      <c r="Z587" s="11"/>
      <c r="AA587" s="11"/>
      <c r="AB587" s="11"/>
      <c r="AC587" s="11">
        <v>626</v>
      </c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>
        <v>583</v>
      </c>
      <c r="AO587" s="11">
        <v>30</v>
      </c>
      <c r="AP587" s="11">
        <v>3</v>
      </c>
      <c r="AQ587" s="11"/>
      <c r="AR587" s="11"/>
      <c r="AS587" s="11">
        <v>10</v>
      </c>
      <c r="AT587" s="20" t="str">
        <f>HYPERLINK("http://www.openstreetmap.org/?mlat=34.6006&amp;mlon=43.6535&amp;zoom=12#map=12/34.6006/43.6535","Maplink1")</f>
        <v>Maplink1</v>
      </c>
      <c r="AU587" s="20" t="str">
        <f>HYPERLINK("https://www.google.iq/maps/search/+34.6006,43.6535/@34.6006,43.6535,14z?hl=en","Maplink2")</f>
        <v>Maplink2</v>
      </c>
      <c r="AV587" s="20" t="str">
        <f>HYPERLINK("http://www.bing.com/maps/?lvl=14&amp;sty=h&amp;cp=34.6006~43.6535&amp;sp=point.34.6006_43.6535","Maplink3")</f>
        <v>Maplink3</v>
      </c>
    </row>
    <row r="588" spans="1:48" s="19" customFormat="1" x14ac:dyDescent="0.25">
      <c r="A588" s="9">
        <v>27369</v>
      </c>
      <c r="B588" s="10" t="s">
        <v>22</v>
      </c>
      <c r="C588" s="10" t="s">
        <v>1015</v>
      </c>
      <c r="D588" s="10" t="s">
        <v>1062</v>
      </c>
      <c r="E588" s="10" t="s">
        <v>1063</v>
      </c>
      <c r="F588" s="10">
        <v>34.589801450000003</v>
      </c>
      <c r="G588" s="10">
        <v>43.664852119999999</v>
      </c>
      <c r="H588" s="11">
        <v>725</v>
      </c>
      <c r="I588" s="11">
        <v>4350</v>
      </c>
      <c r="J588" s="11"/>
      <c r="K588" s="11"/>
      <c r="L588" s="11">
        <v>10</v>
      </c>
      <c r="M588" s="11"/>
      <c r="N588" s="11"/>
      <c r="O588" s="11"/>
      <c r="P588" s="11">
        <v>72</v>
      </c>
      <c r="Q588" s="11"/>
      <c r="R588" s="11">
        <v>490</v>
      </c>
      <c r="S588" s="11"/>
      <c r="T588" s="11"/>
      <c r="U588" s="11"/>
      <c r="V588" s="11"/>
      <c r="W588" s="11"/>
      <c r="X588" s="11">
        <v>128</v>
      </c>
      <c r="Y588" s="11">
        <v>25</v>
      </c>
      <c r="Z588" s="11"/>
      <c r="AA588" s="11"/>
      <c r="AB588" s="11"/>
      <c r="AC588" s="11">
        <v>425</v>
      </c>
      <c r="AD588" s="11"/>
      <c r="AE588" s="11"/>
      <c r="AF588" s="11">
        <v>300</v>
      </c>
      <c r="AG588" s="11"/>
      <c r="AH588" s="11"/>
      <c r="AI588" s="11"/>
      <c r="AJ588" s="11"/>
      <c r="AK588" s="11"/>
      <c r="AL588" s="11"/>
      <c r="AM588" s="11"/>
      <c r="AN588" s="11">
        <v>583</v>
      </c>
      <c r="AO588" s="11">
        <v>117</v>
      </c>
      <c r="AP588" s="11"/>
      <c r="AQ588" s="11"/>
      <c r="AR588" s="11">
        <v>13</v>
      </c>
      <c r="AS588" s="11">
        <v>12</v>
      </c>
      <c r="AT588" s="20" t="str">
        <f>HYPERLINK("http://www.openstreetmap.org/?mlat=34.5898&amp;mlon=43.6649&amp;zoom=12#map=12/34.5898/43.6649","Maplink1")</f>
        <v>Maplink1</v>
      </c>
      <c r="AU588" s="20" t="str">
        <f>HYPERLINK("https://www.google.iq/maps/search/+34.5898,43.6649/@34.5898,43.6649,14z?hl=en","Maplink2")</f>
        <v>Maplink2</v>
      </c>
      <c r="AV588" s="20" t="str">
        <f>HYPERLINK("http://www.bing.com/maps/?lvl=14&amp;sty=h&amp;cp=34.5898~43.6649&amp;sp=point.34.5898_43.6649","Maplink3")</f>
        <v>Maplink3</v>
      </c>
    </row>
    <row r="589" spans="1:48" s="19" customFormat="1" x14ac:dyDescent="0.25">
      <c r="A589" s="9">
        <v>27368</v>
      </c>
      <c r="B589" s="10" t="s">
        <v>22</v>
      </c>
      <c r="C589" s="10" t="s">
        <v>1015</v>
      </c>
      <c r="D589" s="10" t="s">
        <v>1065</v>
      </c>
      <c r="E589" s="10" t="s">
        <v>1066</v>
      </c>
      <c r="F589" s="10">
        <v>34.604627440000002</v>
      </c>
      <c r="G589" s="10">
        <v>43.661955089999999</v>
      </c>
      <c r="H589" s="11">
        <v>90</v>
      </c>
      <c r="I589" s="11">
        <v>540</v>
      </c>
      <c r="J589" s="11"/>
      <c r="K589" s="11"/>
      <c r="L589" s="11"/>
      <c r="M589" s="11"/>
      <c r="N589" s="11"/>
      <c r="O589" s="11"/>
      <c r="P589" s="11">
        <v>22</v>
      </c>
      <c r="Q589" s="11"/>
      <c r="R589" s="11">
        <v>28</v>
      </c>
      <c r="S589" s="11"/>
      <c r="T589" s="11"/>
      <c r="U589" s="11"/>
      <c r="V589" s="11"/>
      <c r="W589" s="11"/>
      <c r="X589" s="11">
        <v>40</v>
      </c>
      <c r="Y589" s="11"/>
      <c r="Z589" s="11"/>
      <c r="AA589" s="11"/>
      <c r="AB589" s="11"/>
      <c r="AC589" s="11">
        <v>86</v>
      </c>
      <c r="AD589" s="11"/>
      <c r="AE589" s="11"/>
      <c r="AF589" s="11"/>
      <c r="AG589" s="11"/>
      <c r="AH589" s="11"/>
      <c r="AI589" s="11">
        <v>4</v>
      </c>
      <c r="AJ589" s="11"/>
      <c r="AK589" s="11"/>
      <c r="AL589" s="11"/>
      <c r="AM589" s="11"/>
      <c r="AN589" s="11">
        <v>70</v>
      </c>
      <c r="AO589" s="11">
        <v>20</v>
      </c>
      <c r="AP589" s="11"/>
      <c r="AQ589" s="11"/>
      <c r="AR589" s="11"/>
      <c r="AS589" s="11"/>
      <c r="AT589" s="20" t="str">
        <f>HYPERLINK("http://www.openstreetmap.org/?mlat=34.6046&amp;mlon=43.662&amp;zoom=12#map=12/34.6046/43.662","Maplink1")</f>
        <v>Maplink1</v>
      </c>
      <c r="AU589" s="20" t="str">
        <f>HYPERLINK("https://www.google.iq/maps/search/+34.6046,43.662/@34.6046,43.662,14z?hl=en","Maplink2")</f>
        <v>Maplink2</v>
      </c>
      <c r="AV589" s="20" t="str">
        <f>HYPERLINK("http://www.bing.com/maps/?lvl=14&amp;sty=h&amp;cp=34.6046~43.662&amp;sp=point.34.6046_43.662","Maplink3")</f>
        <v>Maplink3</v>
      </c>
    </row>
    <row r="590" spans="1:48" s="19" customFormat="1" x14ac:dyDescent="0.25">
      <c r="A590" s="9">
        <v>22965</v>
      </c>
      <c r="B590" s="10" t="s">
        <v>22</v>
      </c>
      <c r="C590" s="10" t="s">
        <v>1015</v>
      </c>
      <c r="D590" s="10" t="s">
        <v>1067</v>
      </c>
      <c r="E590" s="10" t="s">
        <v>1068</v>
      </c>
      <c r="F590" s="10">
        <v>34.604444149999999</v>
      </c>
      <c r="G590" s="10">
        <v>43.685085970000003</v>
      </c>
      <c r="H590" s="11">
        <v>130</v>
      </c>
      <c r="I590" s="11">
        <v>780</v>
      </c>
      <c r="J590" s="11"/>
      <c r="K590" s="11"/>
      <c r="L590" s="11">
        <v>8</v>
      </c>
      <c r="M590" s="11"/>
      <c r="N590" s="11"/>
      <c r="O590" s="11"/>
      <c r="P590" s="11"/>
      <c r="Q590" s="11"/>
      <c r="R590" s="11">
        <v>46</v>
      </c>
      <c r="S590" s="11"/>
      <c r="T590" s="11"/>
      <c r="U590" s="11"/>
      <c r="V590" s="11"/>
      <c r="W590" s="11"/>
      <c r="X590" s="11">
        <v>76</v>
      </c>
      <c r="Y590" s="11"/>
      <c r="Z590" s="11"/>
      <c r="AA590" s="11"/>
      <c r="AB590" s="11"/>
      <c r="AC590" s="11">
        <v>96</v>
      </c>
      <c r="AD590" s="11"/>
      <c r="AE590" s="11"/>
      <c r="AF590" s="11"/>
      <c r="AG590" s="11"/>
      <c r="AH590" s="11"/>
      <c r="AI590" s="11">
        <v>34</v>
      </c>
      <c r="AJ590" s="11"/>
      <c r="AK590" s="11"/>
      <c r="AL590" s="11"/>
      <c r="AM590" s="11"/>
      <c r="AN590" s="11">
        <v>30</v>
      </c>
      <c r="AO590" s="11">
        <v>40</v>
      </c>
      <c r="AP590" s="11">
        <v>60</v>
      </c>
      <c r="AQ590" s="11"/>
      <c r="AR590" s="11"/>
      <c r="AS590" s="11"/>
      <c r="AT590" s="20" t="str">
        <f>HYPERLINK("http://www.openstreetmap.org/?mlat=34.6044&amp;mlon=43.6851&amp;zoom=12#map=12/34.6044/43.6851","Maplink1")</f>
        <v>Maplink1</v>
      </c>
      <c r="AU590" s="20" t="str">
        <f>HYPERLINK("https://www.google.iq/maps/search/+34.6044,43.6851/@34.6044,43.6851,14z?hl=en","Maplink2")</f>
        <v>Maplink2</v>
      </c>
      <c r="AV590" s="20" t="str">
        <f>HYPERLINK("http://www.bing.com/maps/?lvl=14&amp;sty=h&amp;cp=34.6044~43.6851&amp;sp=point.34.6044_43.6851","Maplink3")</f>
        <v>Maplink3</v>
      </c>
    </row>
    <row r="591" spans="1:48" s="19" customFormat="1" x14ac:dyDescent="0.25">
      <c r="A591" s="9">
        <v>20663</v>
      </c>
      <c r="B591" s="10" t="s">
        <v>22</v>
      </c>
      <c r="C591" s="10" t="s">
        <v>1015</v>
      </c>
      <c r="D591" s="10" t="s">
        <v>1208</v>
      </c>
      <c r="E591" s="10" t="s">
        <v>1059</v>
      </c>
      <c r="F591" s="10">
        <v>34.581973419999997</v>
      </c>
      <c r="G591" s="10">
        <v>43.678329920000003</v>
      </c>
      <c r="H591" s="11">
        <v>275</v>
      </c>
      <c r="I591" s="11">
        <v>1650</v>
      </c>
      <c r="J591" s="11"/>
      <c r="K591" s="11"/>
      <c r="L591" s="11">
        <v>7</v>
      </c>
      <c r="M591" s="11"/>
      <c r="N591" s="11"/>
      <c r="O591" s="11"/>
      <c r="P591" s="11">
        <v>57</v>
      </c>
      <c r="Q591" s="11"/>
      <c r="R591" s="11">
        <v>183</v>
      </c>
      <c r="S591" s="11"/>
      <c r="T591" s="11"/>
      <c r="U591" s="11"/>
      <c r="V591" s="11"/>
      <c r="W591" s="11"/>
      <c r="X591" s="11">
        <v>14</v>
      </c>
      <c r="Y591" s="11">
        <v>14</v>
      </c>
      <c r="Z591" s="11"/>
      <c r="AA591" s="11"/>
      <c r="AB591" s="11"/>
      <c r="AC591" s="11">
        <v>241</v>
      </c>
      <c r="AD591" s="11"/>
      <c r="AE591" s="11"/>
      <c r="AF591" s="11"/>
      <c r="AG591" s="11"/>
      <c r="AH591" s="11"/>
      <c r="AI591" s="11">
        <v>34</v>
      </c>
      <c r="AJ591" s="11"/>
      <c r="AK591" s="11"/>
      <c r="AL591" s="11"/>
      <c r="AM591" s="11">
        <v>18</v>
      </c>
      <c r="AN591" s="11">
        <v>202</v>
      </c>
      <c r="AO591" s="11">
        <v>55</v>
      </c>
      <c r="AP591" s="11"/>
      <c r="AQ591" s="11"/>
      <c r="AR591" s="11"/>
      <c r="AS591" s="11"/>
      <c r="AT591" s="20" t="str">
        <f>HYPERLINK("http://www.openstreetmap.org/?mlat=34.582&amp;mlon=43.6783&amp;zoom=12#map=12/34.582/43.6783","Maplink1")</f>
        <v>Maplink1</v>
      </c>
      <c r="AU591" s="20" t="str">
        <f>HYPERLINK("https://www.google.iq/maps/search/+34.582,43.6783/@34.582,43.6783,14z?hl=en","Maplink2")</f>
        <v>Maplink2</v>
      </c>
      <c r="AV591" s="20" t="str">
        <f>HYPERLINK("http://www.bing.com/maps/?lvl=14&amp;sty=h&amp;cp=34.582~43.6783&amp;sp=point.34.582_43.6783","Maplink3")</f>
        <v>Maplink3</v>
      </c>
    </row>
    <row r="592" spans="1:48" s="19" customFormat="1" x14ac:dyDescent="0.25">
      <c r="A592" s="9">
        <v>27367</v>
      </c>
      <c r="B592" s="10" t="s">
        <v>22</v>
      </c>
      <c r="C592" s="10" t="s">
        <v>1015</v>
      </c>
      <c r="D592" s="10" t="s">
        <v>1069</v>
      </c>
      <c r="E592" s="10" t="s">
        <v>1070</v>
      </c>
      <c r="F592" s="10">
        <v>34.584929500000001</v>
      </c>
      <c r="G592" s="10">
        <v>43.682541399999998</v>
      </c>
      <c r="H592" s="11">
        <v>317</v>
      </c>
      <c r="I592" s="11">
        <v>1902</v>
      </c>
      <c r="J592" s="11"/>
      <c r="K592" s="11"/>
      <c r="L592" s="11">
        <v>33</v>
      </c>
      <c r="M592" s="11"/>
      <c r="N592" s="11"/>
      <c r="O592" s="11"/>
      <c r="P592" s="11">
        <v>38</v>
      </c>
      <c r="Q592" s="11"/>
      <c r="R592" s="11">
        <v>60</v>
      </c>
      <c r="S592" s="11"/>
      <c r="T592" s="11"/>
      <c r="U592" s="11"/>
      <c r="V592" s="11"/>
      <c r="W592" s="11"/>
      <c r="X592" s="11">
        <v>186</v>
      </c>
      <c r="Y592" s="11"/>
      <c r="Z592" s="11"/>
      <c r="AA592" s="11"/>
      <c r="AB592" s="11"/>
      <c r="AC592" s="11">
        <v>300</v>
      </c>
      <c r="AD592" s="11"/>
      <c r="AE592" s="11"/>
      <c r="AF592" s="11"/>
      <c r="AG592" s="11"/>
      <c r="AH592" s="11"/>
      <c r="AI592" s="11">
        <v>17</v>
      </c>
      <c r="AJ592" s="11"/>
      <c r="AK592" s="11"/>
      <c r="AL592" s="11"/>
      <c r="AM592" s="11"/>
      <c r="AN592" s="11">
        <v>152</v>
      </c>
      <c r="AO592" s="11">
        <v>85</v>
      </c>
      <c r="AP592" s="11">
        <v>80</v>
      </c>
      <c r="AQ592" s="11"/>
      <c r="AR592" s="11"/>
      <c r="AS592" s="11"/>
      <c r="AT592" s="20" t="str">
        <f>HYPERLINK("http://www.openstreetmap.org/?mlat=34.5849&amp;mlon=43.6825&amp;zoom=12#map=12/34.5849/43.6825","Maplink1")</f>
        <v>Maplink1</v>
      </c>
      <c r="AU592" s="20" t="str">
        <f>HYPERLINK("https://www.google.iq/maps/search/+34.5849,43.6825/@34.5849,43.6825,14z?hl=en","Maplink2")</f>
        <v>Maplink2</v>
      </c>
      <c r="AV592" s="20" t="str">
        <f>HYPERLINK("http://www.bing.com/maps/?lvl=14&amp;sty=h&amp;cp=34.5849~43.6825&amp;sp=point.34.5849_43.6825","Maplink3")</f>
        <v>Maplink3</v>
      </c>
    </row>
    <row r="593" spans="1:48" s="19" customFormat="1" x14ac:dyDescent="0.25">
      <c r="A593" s="9">
        <v>20624</v>
      </c>
      <c r="B593" s="10" t="s">
        <v>22</v>
      </c>
      <c r="C593" s="10" t="s">
        <v>1015</v>
      </c>
      <c r="D593" s="10" t="s">
        <v>1209</v>
      </c>
      <c r="E593" s="10" t="s">
        <v>1210</v>
      </c>
      <c r="F593" s="10">
        <v>34.582677920000002</v>
      </c>
      <c r="G593" s="10">
        <v>43.68829058</v>
      </c>
      <c r="H593" s="11">
        <v>415</v>
      </c>
      <c r="I593" s="11">
        <v>2490</v>
      </c>
      <c r="J593" s="11"/>
      <c r="K593" s="11"/>
      <c r="L593" s="11">
        <v>154</v>
      </c>
      <c r="M593" s="11"/>
      <c r="N593" s="11"/>
      <c r="O593" s="11"/>
      <c r="P593" s="11">
        <v>103</v>
      </c>
      <c r="Q593" s="11"/>
      <c r="R593" s="11">
        <v>94</v>
      </c>
      <c r="S593" s="11"/>
      <c r="T593" s="11"/>
      <c r="U593" s="11"/>
      <c r="V593" s="11"/>
      <c r="W593" s="11"/>
      <c r="X593" s="11">
        <v>39</v>
      </c>
      <c r="Y593" s="11">
        <v>25</v>
      </c>
      <c r="Z593" s="11"/>
      <c r="AA593" s="11"/>
      <c r="AB593" s="11"/>
      <c r="AC593" s="11">
        <v>335</v>
      </c>
      <c r="AD593" s="11"/>
      <c r="AE593" s="11"/>
      <c r="AF593" s="11"/>
      <c r="AG593" s="11"/>
      <c r="AH593" s="11"/>
      <c r="AI593" s="11">
        <v>80</v>
      </c>
      <c r="AJ593" s="11"/>
      <c r="AK593" s="11"/>
      <c r="AL593" s="11"/>
      <c r="AM593" s="11"/>
      <c r="AN593" s="11">
        <v>389</v>
      </c>
      <c r="AO593" s="11">
        <v>26</v>
      </c>
      <c r="AP593" s="11"/>
      <c r="AQ593" s="11"/>
      <c r="AR593" s="11"/>
      <c r="AS593" s="11"/>
      <c r="AT593" s="20" t="str">
        <f>HYPERLINK("http://www.openstreetmap.org/?mlat=34.5827&amp;mlon=43.6883&amp;zoom=12#map=12/34.5827/43.6883","Maplink1")</f>
        <v>Maplink1</v>
      </c>
      <c r="AU593" s="20" t="str">
        <f>HYPERLINK("https://www.google.iq/maps/search/+34.5827,43.6883/@34.5827,43.6883,14z?hl=en","Maplink2")</f>
        <v>Maplink2</v>
      </c>
      <c r="AV593" s="20" t="str">
        <f>HYPERLINK("http://www.bing.com/maps/?lvl=14&amp;sty=h&amp;cp=34.5827~43.6883&amp;sp=point.34.5827_43.6883","Maplink3")</f>
        <v>Maplink3</v>
      </c>
    </row>
    <row r="594" spans="1:48" s="19" customFormat="1" x14ac:dyDescent="0.25">
      <c r="A594" s="9">
        <v>25962</v>
      </c>
      <c r="B594" s="10" t="s">
        <v>22</v>
      </c>
      <c r="C594" s="10" t="s">
        <v>1015</v>
      </c>
      <c r="D594" s="10" t="s">
        <v>1211</v>
      </c>
      <c r="E594" s="10" t="s">
        <v>1071</v>
      </c>
      <c r="F594" s="10">
        <v>34.612176759999997</v>
      </c>
      <c r="G594" s="10">
        <v>43.680861129999997</v>
      </c>
      <c r="H594" s="11">
        <v>723</v>
      </c>
      <c r="I594" s="11">
        <v>4338</v>
      </c>
      <c r="J594" s="11"/>
      <c r="K594" s="11"/>
      <c r="L594" s="11">
        <v>23</v>
      </c>
      <c r="M594" s="11"/>
      <c r="N594" s="11">
        <v>6</v>
      </c>
      <c r="O594" s="11"/>
      <c r="P594" s="11">
        <v>285</v>
      </c>
      <c r="Q594" s="11"/>
      <c r="R594" s="11">
        <v>251</v>
      </c>
      <c r="S594" s="11"/>
      <c r="T594" s="11"/>
      <c r="U594" s="11"/>
      <c r="V594" s="11">
        <v>2</v>
      </c>
      <c r="W594" s="11"/>
      <c r="X594" s="11">
        <v>130</v>
      </c>
      <c r="Y594" s="11">
        <v>26</v>
      </c>
      <c r="Z594" s="11"/>
      <c r="AA594" s="11"/>
      <c r="AB594" s="11"/>
      <c r="AC594" s="11">
        <v>689</v>
      </c>
      <c r="AD594" s="11"/>
      <c r="AE594" s="11"/>
      <c r="AF594" s="11"/>
      <c r="AG594" s="11"/>
      <c r="AH594" s="11"/>
      <c r="AI594" s="11">
        <v>34</v>
      </c>
      <c r="AJ594" s="11"/>
      <c r="AK594" s="11"/>
      <c r="AL594" s="11"/>
      <c r="AM594" s="11"/>
      <c r="AN594" s="11">
        <v>400</v>
      </c>
      <c r="AO594" s="11">
        <v>100</v>
      </c>
      <c r="AP594" s="11">
        <v>177</v>
      </c>
      <c r="AQ594" s="11"/>
      <c r="AR594" s="11">
        <v>18</v>
      </c>
      <c r="AS594" s="11">
        <v>28</v>
      </c>
      <c r="AT594" s="20" t="str">
        <f>HYPERLINK("http://www.openstreetmap.org/?mlat=34.6122&amp;mlon=43.6809&amp;zoom=12#map=12/34.6122/43.6809","Maplink1")</f>
        <v>Maplink1</v>
      </c>
      <c r="AU594" s="20" t="str">
        <f>HYPERLINK("https://www.google.iq/maps/search/+34.6122,43.6809/@34.6122,43.6809,14z?hl=en","Maplink2")</f>
        <v>Maplink2</v>
      </c>
      <c r="AV594" s="20" t="str">
        <f>HYPERLINK("http://www.bing.com/maps/?lvl=14&amp;sty=h&amp;cp=34.6122~43.6809&amp;sp=point.34.6122_43.6809","Maplink3")</f>
        <v>Maplink3</v>
      </c>
    </row>
    <row r="595" spans="1:48" s="19" customFormat="1" x14ac:dyDescent="0.25">
      <c r="A595" s="9">
        <v>22966</v>
      </c>
      <c r="B595" s="10" t="s">
        <v>22</v>
      </c>
      <c r="C595" s="10" t="s">
        <v>1015</v>
      </c>
      <c r="D595" s="10" t="s">
        <v>1212</v>
      </c>
      <c r="E595" s="10" t="s">
        <v>1072</v>
      </c>
      <c r="F595" s="10">
        <v>34.588332110000003</v>
      </c>
      <c r="G595" s="10">
        <v>43.681835020000001</v>
      </c>
      <c r="H595" s="11">
        <v>140</v>
      </c>
      <c r="I595" s="11">
        <v>840</v>
      </c>
      <c r="J595" s="11"/>
      <c r="K595" s="11"/>
      <c r="L595" s="11"/>
      <c r="M595" s="11"/>
      <c r="N595" s="11"/>
      <c r="O595" s="11"/>
      <c r="P595" s="11"/>
      <c r="Q595" s="11"/>
      <c r="R595" s="11">
        <v>2</v>
      </c>
      <c r="S595" s="11"/>
      <c r="T595" s="11"/>
      <c r="U595" s="11"/>
      <c r="V595" s="11"/>
      <c r="W595" s="11"/>
      <c r="X595" s="11">
        <v>138</v>
      </c>
      <c r="Y595" s="11"/>
      <c r="Z595" s="11"/>
      <c r="AA595" s="11"/>
      <c r="AB595" s="11"/>
      <c r="AC595" s="11">
        <v>140</v>
      </c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>
        <v>61</v>
      </c>
      <c r="AO595" s="11">
        <v>50</v>
      </c>
      <c r="AP595" s="11">
        <v>29</v>
      </c>
      <c r="AQ595" s="11"/>
      <c r="AR595" s="11"/>
      <c r="AS595" s="11"/>
      <c r="AT595" s="20" t="str">
        <f>HYPERLINK("http://www.openstreetmap.org/?mlat=34.5883&amp;mlon=43.6818&amp;zoom=12#map=12/34.5883/43.6818","Maplink1")</f>
        <v>Maplink1</v>
      </c>
      <c r="AU595" s="20" t="str">
        <f>HYPERLINK("https://www.google.iq/maps/search/+34.5883,43.6818/@34.5883,43.6818,14z?hl=en","Maplink2")</f>
        <v>Maplink2</v>
      </c>
      <c r="AV595" s="20" t="str">
        <f>HYPERLINK("http://www.bing.com/maps/?lvl=14&amp;sty=h&amp;cp=34.5883~43.6818&amp;sp=point.34.5883_43.6818","Maplink3")</f>
        <v>Maplink3</v>
      </c>
    </row>
    <row r="596" spans="1:48" s="19" customFormat="1" x14ac:dyDescent="0.25">
      <c r="A596" s="9">
        <v>28449</v>
      </c>
      <c r="B596" s="10" t="s">
        <v>22</v>
      </c>
      <c r="C596" s="10" t="s">
        <v>1015</v>
      </c>
      <c r="D596" s="10" t="s">
        <v>1073</v>
      </c>
      <c r="E596" s="10" t="s">
        <v>1074</v>
      </c>
      <c r="F596" s="10">
        <v>34.699296169999997</v>
      </c>
      <c r="G596" s="10">
        <v>43.709547559999997</v>
      </c>
      <c r="H596" s="11">
        <v>575</v>
      </c>
      <c r="I596" s="11">
        <v>3450</v>
      </c>
      <c r="J596" s="11"/>
      <c r="K596" s="11"/>
      <c r="L596" s="11"/>
      <c r="M596" s="11"/>
      <c r="N596" s="11"/>
      <c r="O596" s="11"/>
      <c r="P596" s="11"/>
      <c r="Q596" s="11"/>
      <c r="R596" s="11">
        <v>575</v>
      </c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>
        <v>500</v>
      </c>
      <c r="AD596" s="11">
        <v>25</v>
      </c>
      <c r="AE596" s="11"/>
      <c r="AF596" s="11"/>
      <c r="AG596" s="11"/>
      <c r="AH596" s="11"/>
      <c r="AI596" s="11">
        <v>50</v>
      </c>
      <c r="AJ596" s="11"/>
      <c r="AK596" s="11"/>
      <c r="AL596" s="11"/>
      <c r="AM596" s="11"/>
      <c r="AN596" s="11">
        <v>275</v>
      </c>
      <c r="AO596" s="11">
        <v>300</v>
      </c>
      <c r="AP596" s="11"/>
      <c r="AQ596" s="11"/>
      <c r="AR596" s="11"/>
      <c r="AS596" s="11"/>
      <c r="AT596" s="20" t="str">
        <f>HYPERLINK("http://www.openstreetmap.org/?mlat=34.6993&amp;mlon=43.7095&amp;zoom=12#map=12/34.6993/43.7095","Maplink1")</f>
        <v>Maplink1</v>
      </c>
      <c r="AU596" s="20" t="str">
        <f>HYPERLINK("https://www.google.iq/maps/search/+34.6993,43.7095/@34.6993,43.7095,14z?hl=en","Maplink2")</f>
        <v>Maplink2</v>
      </c>
      <c r="AV596" s="20" t="str">
        <f>HYPERLINK("http://www.bing.com/maps/?lvl=14&amp;sty=h&amp;cp=34.6993~43.7095&amp;sp=point.34.6993_43.7095","Maplink3")</f>
        <v>Maplink3</v>
      </c>
    </row>
    <row r="597" spans="1:48" s="19" customFormat="1" x14ac:dyDescent="0.25">
      <c r="A597" s="9">
        <v>22470</v>
      </c>
      <c r="B597" s="10" t="s">
        <v>22</v>
      </c>
      <c r="C597" s="10" t="s">
        <v>1015</v>
      </c>
      <c r="D597" s="10" t="s">
        <v>1075</v>
      </c>
      <c r="E597" s="10" t="s">
        <v>1076</v>
      </c>
      <c r="F597" s="10">
        <v>34.688249999999996</v>
      </c>
      <c r="G597" s="10">
        <v>43.712161100000003</v>
      </c>
      <c r="H597" s="11">
        <v>687</v>
      </c>
      <c r="I597" s="11">
        <v>4122</v>
      </c>
      <c r="J597" s="11"/>
      <c r="K597" s="11"/>
      <c r="L597" s="11">
        <v>250</v>
      </c>
      <c r="M597" s="11"/>
      <c r="N597" s="11"/>
      <c r="O597" s="11"/>
      <c r="P597" s="11"/>
      <c r="Q597" s="11"/>
      <c r="R597" s="11">
        <v>200</v>
      </c>
      <c r="S597" s="11"/>
      <c r="T597" s="11"/>
      <c r="U597" s="11"/>
      <c r="V597" s="11"/>
      <c r="W597" s="11"/>
      <c r="X597" s="11">
        <v>237</v>
      </c>
      <c r="Y597" s="11"/>
      <c r="Z597" s="11"/>
      <c r="AA597" s="11"/>
      <c r="AB597" s="11"/>
      <c r="AC597" s="11">
        <v>425</v>
      </c>
      <c r="AD597" s="11">
        <v>12</v>
      </c>
      <c r="AE597" s="11"/>
      <c r="AF597" s="11"/>
      <c r="AG597" s="11"/>
      <c r="AH597" s="11"/>
      <c r="AI597" s="11">
        <v>250</v>
      </c>
      <c r="AJ597" s="11"/>
      <c r="AK597" s="11"/>
      <c r="AL597" s="11"/>
      <c r="AM597" s="11"/>
      <c r="AN597" s="11">
        <v>460</v>
      </c>
      <c r="AO597" s="11">
        <v>227</v>
      </c>
      <c r="AP597" s="11"/>
      <c r="AQ597" s="11"/>
      <c r="AR597" s="11"/>
      <c r="AS597" s="11"/>
      <c r="AT597" s="20" t="str">
        <f>HYPERLINK("http://www.openstreetmap.org/?mlat=34.6882&amp;mlon=43.7122&amp;zoom=12#map=12/34.6882/43.7122","Maplink1")</f>
        <v>Maplink1</v>
      </c>
      <c r="AU597" s="20" t="str">
        <f>HYPERLINK("https://www.google.iq/maps/search/+34.6882,43.7122/@34.6882,43.7122,14z?hl=en","Maplink2")</f>
        <v>Maplink2</v>
      </c>
      <c r="AV597" s="20" t="str">
        <f>HYPERLINK("http://www.bing.com/maps/?lvl=14&amp;sty=h&amp;cp=34.6882~43.7122&amp;sp=point.34.6882_43.7122","Maplink3")</f>
        <v>Maplink3</v>
      </c>
    </row>
    <row r="598" spans="1:48" s="19" customFormat="1" x14ac:dyDescent="0.25">
      <c r="A598" s="9">
        <v>22059</v>
      </c>
      <c r="B598" s="10" t="s">
        <v>22</v>
      </c>
      <c r="C598" s="10" t="s">
        <v>1015</v>
      </c>
      <c r="D598" s="10" t="s">
        <v>1080</v>
      </c>
      <c r="E598" s="10" t="s">
        <v>1081</v>
      </c>
      <c r="F598" s="10">
        <v>34.791057000000002</v>
      </c>
      <c r="G598" s="10">
        <v>43.619826750000001</v>
      </c>
      <c r="H598" s="11">
        <v>410</v>
      </c>
      <c r="I598" s="11">
        <v>2460</v>
      </c>
      <c r="J598" s="11"/>
      <c r="K598" s="11"/>
      <c r="L598" s="11"/>
      <c r="M598" s="11"/>
      <c r="N598" s="11"/>
      <c r="O598" s="11"/>
      <c r="P598" s="11"/>
      <c r="Q598" s="11"/>
      <c r="R598" s="11">
        <v>410</v>
      </c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>
        <v>410</v>
      </c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>
        <v>410</v>
      </c>
      <c r="AQ598" s="11"/>
      <c r="AR598" s="11"/>
      <c r="AS598" s="11"/>
      <c r="AT598" s="20" t="str">
        <f>HYPERLINK("http://www.openstreetmap.org/?mlat=34.7911&amp;mlon=43.6198&amp;zoom=12#map=12/34.7911/43.6198","Maplink1")</f>
        <v>Maplink1</v>
      </c>
      <c r="AU598" s="20" t="str">
        <f>HYPERLINK("https://www.google.iq/maps/search/+34.7911,43.6198/@34.7911,43.6198,14z?hl=en","Maplink2")</f>
        <v>Maplink2</v>
      </c>
      <c r="AV598" s="20" t="str">
        <f>HYPERLINK("http://www.bing.com/maps/?lvl=14&amp;sty=h&amp;cp=34.7911~43.6198&amp;sp=point.34.7911_43.6198","Maplink3")</f>
        <v>Maplink3</v>
      </c>
    </row>
    <row r="599" spans="1:48" s="19" customFormat="1" x14ac:dyDescent="0.25">
      <c r="A599" s="9">
        <v>25922</v>
      </c>
      <c r="B599" s="10" t="s">
        <v>22</v>
      </c>
      <c r="C599" s="10" t="s">
        <v>1015</v>
      </c>
      <c r="D599" s="10" t="s">
        <v>1213</v>
      </c>
      <c r="E599" s="10" t="s">
        <v>1077</v>
      </c>
      <c r="F599" s="10">
        <v>34.634419569999999</v>
      </c>
      <c r="G599" s="10">
        <v>43.666980680000002</v>
      </c>
      <c r="H599" s="11">
        <v>2152</v>
      </c>
      <c r="I599" s="11">
        <v>12912</v>
      </c>
      <c r="J599" s="11"/>
      <c r="K599" s="11"/>
      <c r="L599" s="11">
        <v>44</v>
      </c>
      <c r="M599" s="11"/>
      <c r="N599" s="11">
        <v>22</v>
      </c>
      <c r="O599" s="11"/>
      <c r="P599" s="11">
        <v>800</v>
      </c>
      <c r="Q599" s="11"/>
      <c r="R599" s="11">
        <v>1017</v>
      </c>
      <c r="S599" s="11"/>
      <c r="T599" s="11"/>
      <c r="U599" s="11"/>
      <c r="V599" s="11">
        <v>3</v>
      </c>
      <c r="W599" s="11"/>
      <c r="X599" s="11">
        <v>149</v>
      </c>
      <c r="Y599" s="11">
        <v>117</v>
      </c>
      <c r="Z599" s="11"/>
      <c r="AA599" s="11"/>
      <c r="AB599" s="11"/>
      <c r="AC599" s="11">
        <v>1905</v>
      </c>
      <c r="AD599" s="11"/>
      <c r="AE599" s="11"/>
      <c r="AF599" s="11"/>
      <c r="AG599" s="11"/>
      <c r="AH599" s="11"/>
      <c r="AI599" s="11">
        <v>247</v>
      </c>
      <c r="AJ599" s="11"/>
      <c r="AK599" s="11"/>
      <c r="AL599" s="11"/>
      <c r="AM599" s="11"/>
      <c r="AN599" s="11">
        <v>1022</v>
      </c>
      <c r="AO599" s="11">
        <v>600</v>
      </c>
      <c r="AP599" s="11">
        <v>478</v>
      </c>
      <c r="AQ599" s="11"/>
      <c r="AR599" s="11"/>
      <c r="AS599" s="11">
        <v>52</v>
      </c>
      <c r="AT599" s="20" t="str">
        <f>HYPERLINK("http://www.openstreetmap.org/?mlat=34.6344&amp;mlon=43.667&amp;zoom=12#map=12/34.6344/43.667","Maplink1")</f>
        <v>Maplink1</v>
      </c>
      <c r="AU599" s="20" t="str">
        <f>HYPERLINK("https://www.google.iq/maps/search/+34.6344,43.667/@34.6344,43.667,14z?hl=en","Maplink2")</f>
        <v>Maplink2</v>
      </c>
      <c r="AV599" s="20" t="str">
        <f>HYPERLINK("http://www.bing.com/maps/?lvl=14&amp;sty=h&amp;cp=34.6344~43.667&amp;sp=point.34.6344_43.667","Maplink3")</f>
        <v>Maplink3</v>
      </c>
    </row>
    <row r="600" spans="1:48" s="19" customFormat="1" x14ac:dyDescent="0.25">
      <c r="A600" s="9">
        <v>25923</v>
      </c>
      <c r="B600" s="10" t="s">
        <v>22</v>
      </c>
      <c r="C600" s="10" t="s">
        <v>1015</v>
      </c>
      <c r="D600" s="10" t="s">
        <v>1214</v>
      </c>
      <c r="E600" s="10" t="s">
        <v>1079</v>
      </c>
      <c r="F600" s="10">
        <v>34.649230240000001</v>
      </c>
      <c r="G600" s="10">
        <v>43.661194639999998</v>
      </c>
      <c r="H600" s="11">
        <v>2268</v>
      </c>
      <c r="I600" s="11">
        <v>13608</v>
      </c>
      <c r="J600" s="11"/>
      <c r="K600" s="11"/>
      <c r="L600" s="11">
        <v>151</v>
      </c>
      <c r="M600" s="11"/>
      <c r="N600" s="11">
        <v>100</v>
      </c>
      <c r="O600" s="11"/>
      <c r="P600" s="11">
        <v>503</v>
      </c>
      <c r="Q600" s="11"/>
      <c r="R600" s="11">
        <v>1006</v>
      </c>
      <c r="S600" s="11"/>
      <c r="T600" s="11"/>
      <c r="U600" s="11"/>
      <c r="V600" s="11">
        <v>1</v>
      </c>
      <c r="W600" s="11"/>
      <c r="X600" s="11">
        <v>207</v>
      </c>
      <c r="Y600" s="11">
        <v>300</v>
      </c>
      <c r="Z600" s="11"/>
      <c r="AA600" s="11"/>
      <c r="AB600" s="11"/>
      <c r="AC600" s="11">
        <v>1948</v>
      </c>
      <c r="AD600" s="11"/>
      <c r="AE600" s="11"/>
      <c r="AF600" s="11"/>
      <c r="AG600" s="11"/>
      <c r="AH600" s="11"/>
      <c r="AI600" s="11">
        <v>320</v>
      </c>
      <c r="AJ600" s="11"/>
      <c r="AK600" s="11"/>
      <c r="AL600" s="11"/>
      <c r="AM600" s="11"/>
      <c r="AN600" s="11">
        <v>1000</v>
      </c>
      <c r="AO600" s="11">
        <v>600</v>
      </c>
      <c r="AP600" s="11">
        <v>634</v>
      </c>
      <c r="AQ600" s="11">
        <v>1</v>
      </c>
      <c r="AR600" s="11">
        <v>2</v>
      </c>
      <c r="AS600" s="11">
        <v>31</v>
      </c>
      <c r="AT600" s="20" t="str">
        <f>HYPERLINK("http://www.openstreetmap.org/?mlat=34.6492&amp;mlon=43.6612&amp;zoom=12#map=12/34.6492/43.6612","Maplink1")</f>
        <v>Maplink1</v>
      </c>
      <c r="AU600" s="20" t="str">
        <f>HYPERLINK("https://www.google.iq/maps/search/+34.6492,43.6612/@34.6492,43.6612,14z?hl=en","Maplink2")</f>
        <v>Maplink2</v>
      </c>
      <c r="AV600" s="20" t="str">
        <f>HYPERLINK("http://www.bing.com/maps/?lvl=14&amp;sty=h&amp;cp=34.6492~43.6612&amp;sp=point.34.6492_43.6612","Maplink3")</f>
        <v>Maplink3</v>
      </c>
    </row>
    <row r="601" spans="1:48" s="19" customFormat="1" x14ac:dyDescent="0.25">
      <c r="A601" s="9">
        <v>22180</v>
      </c>
      <c r="B601" s="10" t="s">
        <v>22</v>
      </c>
      <c r="C601" s="10" t="s">
        <v>1015</v>
      </c>
      <c r="D601" s="10" t="s">
        <v>1082</v>
      </c>
      <c r="E601" s="10" t="s">
        <v>1083</v>
      </c>
      <c r="F601" s="10">
        <v>34.618171779999997</v>
      </c>
      <c r="G601" s="10">
        <v>43.715943379999999</v>
      </c>
      <c r="H601" s="11">
        <v>1481</v>
      </c>
      <c r="I601" s="11">
        <v>8886</v>
      </c>
      <c r="J601" s="11"/>
      <c r="K601" s="11"/>
      <c r="L601" s="11">
        <v>4</v>
      </c>
      <c r="M601" s="11"/>
      <c r="N601" s="11"/>
      <c r="O601" s="11"/>
      <c r="P601" s="11">
        <v>307</v>
      </c>
      <c r="Q601" s="11"/>
      <c r="R601" s="11">
        <v>1152</v>
      </c>
      <c r="S601" s="11"/>
      <c r="T601" s="11"/>
      <c r="U601" s="11"/>
      <c r="V601" s="11"/>
      <c r="W601" s="11"/>
      <c r="X601" s="11">
        <v>10</v>
      </c>
      <c r="Y601" s="11">
        <v>8</v>
      </c>
      <c r="Z601" s="11"/>
      <c r="AA601" s="11"/>
      <c r="AB601" s="11"/>
      <c r="AC601" s="11">
        <v>1481</v>
      </c>
      <c r="AD601" s="11"/>
      <c r="AE601" s="11"/>
      <c r="AF601" s="11"/>
      <c r="AG601" s="11"/>
      <c r="AH601" s="11"/>
      <c r="AI601" s="11"/>
      <c r="AJ601" s="11"/>
      <c r="AK601" s="11"/>
      <c r="AL601" s="11"/>
      <c r="AM601" s="11">
        <v>53</v>
      </c>
      <c r="AN601" s="11">
        <v>83</v>
      </c>
      <c r="AO601" s="11">
        <v>162</v>
      </c>
      <c r="AP601" s="11">
        <v>1183</v>
      </c>
      <c r="AQ601" s="11"/>
      <c r="AR601" s="11"/>
      <c r="AS601" s="11"/>
      <c r="AT601" s="20" t="str">
        <f>HYPERLINK("http://www.openstreetmap.org/?mlat=34.6182&amp;mlon=43.7159&amp;zoom=12#map=12/34.6182/43.7159","Maplink1")</f>
        <v>Maplink1</v>
      </c>
      <c r="AU601" s="20" t="str">
        <f>HYPERLINK("https://www.google.iq/maps/search/+34.6182,43.7159/@34.6182,43.7159,14z?hl=en","Maplink2")</f>
        <v>Maplink2</v>
      </c>
      <c r="AV601" s="20" t="str">
        <f>HYPERLINK("http://www.bing.com/maps/?lvl=14&amp;sty=h&amp;cp=34.6182~43.7159&amp;sp=point.34.6182_43.7159","Maplink3")</f>
        <v>Maplink3</v>
      </c>
    </row>
    <row r="602" spans="1:48" s="19" customFormat="1" x14ac:dyDescent="0.25">
      <c r="A602" s="9">
        <v>20612</v>
      </c>
      <c r="B602" s="10" t="s">
        <v>22</v>
      </c>
      <c r="C602" s="10" t="s">
        <v>1015</v>
      </c>
      <c r="D602" s="10" t="s">
        <v>1084</v>
      </c>
      <c r="E602" s="10" t="s">
        <v>1085</v>
      </c>
      <c r="F602" s="10">
        <v>34.754232469999998</v>
      </c>
      <c r="G602" s="10">
        <v>43.670013840000003</v>
      </c>
      <c r="H602" s="11">
        <v>110</v>
      </c>
      <c r="I602" s="11">
        <v>660</v>
      </c>
      <c r="J602" s="11"/>
      <c r="K602" s="11"/>
      <c r="L602" s="11"/>
      <c r="M602" s="11"/>
      <c r="N602" s="11"/>
      <c r="O602" s="11"/>
      <c r="P602" s="11"/>
      <c r="Q602" s="11"/>
      <c r="R602" s="11">
        <v>110</v>
      </c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>
        <v>100</v>
      </c>
      <c r="AD602" s="11">
        <v>5</v>
      </c>
      <c r="AE602" s="11"/>
      <c r="AF602" s="11"/>
      <c r="AG602" s="11"/>
      <c r="AH602" s="11"/>
      <c r="AI602" s="11">
        <v>5</v>
      </c>
      <c r="AJ602" s="11"/>
      <c r="AK602" s="11"/>
      <c r="AL602" s="11"/>
      <c r="AM602" s="11"/>
      <c r="AN602" s="11">
        <v>10</v>
      </c>
      <c r="AO602" s="11"/>
      <c r="AP602" s="11">
        <v>100</v>
      </c>
      <c r="AQ602" s="11"/>
      <c r="AR602" s="11"/>
      <c r="AS602" s="11"/>
      <c r="AT602" s="20" t="str">
        <f>HYPERLINK("http://www.openstreetmap.org/?mlat=34.7542&amp;mlon=43.67&amp;zoom=12#map=12/34.7542/43.67","Maplink1")</f>
        <v>Maplink1</v>
      </c>
      <c r="AU602" s="20" t="str">
        <f>HYPERLINK("https://www.google.iq/maps/search/+34.7542,43.67/@34.7542,43.67,14z?hl=en","Maplink2")</f>
        <v>Maplink2</v>
      </c>
      <c r="AV602" s="20" t="str">
        <f>HYPERLINK("http://www.bing.com/maps/?lvl=14&amp;sty=h&amp;cp=34.7542~43.67&amp;sp=point.34.7542_43.67","Maplink3")</f>
        <v>Maplink3</v>
      </c>
    </row>
    <row r="603" spans="1:48" s="19" customFormat="1" x14ac:dyDescent="0.25">
      <c r="A603" s="9">
        <v>25950</v>
      </c>
      <c r="B603" s="10" t="s">
        <v>22</v>
      </c>
      <c r="C603" s="10" t="s">
        <v>1015</v>
      </c>
      <c r="D603" s="10" t="s">
        <v>1086</v>
      </c>
      <c r="E603" s="10" t="s">
        <v>1087</v>
      </c>
      <c r="F603" s="10">
        <v>34.82091767</v>
      </c>
      <c r="G603" s="10">
        <v>43.578059060000001</v>
      </c>
      <c r="H603" s="11">
        <v>530</v>
      </c>
      <c r="I603" s="11">
        <v>3180</v>
      </c>
      <c r="J603" s="11"/>
      <c r="K603" s="11"/>
      <c r="L603" s="11"/>
      <c r="M603" s="11"/>
      <c r="N603" s="11"/>
      <c r="O603" s="11"/>
      <c r="P603" s="11"/>
      <c r="Q603" s="11"/>
      <c r="R603" s="11">
        <v>265</v>
      </c>
      <c r="S603" s="11"/>
      <c r="T603" s="11"/>
      <c r="U603" s="11"/>
      <c r="V603" s="11"/>
      <c r="W603" s="11"/>
      <c r="X603" s="11">
        <v>265</v>
      </c>
      <c r="Y603" s="11"/>
      <c r="Z603" s="11"/>
      <c r="AA603" s="11"/>
      <c r="AB603" s="11"/>
      <c r="AC603" s="11">
        <v>500</v>
      </c>
      <c r="AD603" s="11"/>
      <c r="AE603" s="11"/>
      <c r="AF603" s="11">
        <v>30</v>
      </c>
      <c r="AG603" s="11"/>
      <c r="AH603" s="11"/>
      <c r="AI603" s="11"/>
      <c r="AJ603" s="11"/>
      <c r="AK603" s="11"/>
      <c r="AL603" s="11"/>
      <c r="AM603" s="11"/>
      <c r="AN603" s="11">
        <v>100</v>
      </c>
      <c r="AO603" s="11">
        <v>200</v>
      </c>
      <c r="AP603" s="11">
        <v>230</v>
      </c>
      <c r="AQ603" s="11"/>
      <c r="AR603" s="11"/>
      <c r="AS603" s="11"/>
      <c r="AT603" s="20" t="str">
        <f>HYPERLINK("http://www.openstreetmap.org/?mlat=34.8209&amp;mlon=43.5781&amp;zoom=12#map=12/34.8209/43.5781","Maplink1")</f>
        <v>Maplink1</v>
      </c>
      <c r="AU603" s="20" t="str">
        <f>HYPERLINK("https://www.google.iq/maps/search/+34.8209,43.5781/@34.8209,43.5781,14z?hl=en","Maplink2")</f>
        <v>Maplink2</v>
      </c>
      <c r="AV603" s="20" t="str">
        <f>HYPERLINK("http://www.bing.com/maps/?lvl=14&amp;sty=h&amp;cp=34.8209~43.5781&amp;sp=point.34.8209_43.5781","Maplink3")</f>
        <v>Maplink3</v>
      </c>
    </row>
    <row r="604" spans="1:48" s="19" customFormat="1" x14ac:dyDescent="0.25">
      <c r="A604" s="9">
        <v>20666</v>
      </c>
      <c r="B604" s="10" t="s">
        <v>22</v>
      </c>
      <c r="C604" s="10" t="s">
        <v>1015</v>
      </c>
      <c r="D604" s="10" t="s">
        <v>1088</v>
      </c>
      <c r="E604" s="10" t="s">
        <v>1089</v>
      </c>
      <c r="F604" s="10">
        <v>34.472761230000003</v>
      </c>
      <c r="G604" s="10">
        <v>43.734200289999997</v>
      </c>
      <c r="H604" s="11">
        <v>615</v>
      </c>
      <c r="I604" s="11">
        <v>3690</v>
      </c>
      <c r="J604" s="11"/>
      <c r="K604" s="11"/>
      <c r="L604" s="11">
        <v>13</v>
      </c>
      <c r="M604" s="11"/>
      <c r="N604" s="11"/>
      <c r="O604" s="11"/>
      <c r="P604" s="11">
        <v>96</v>
      </c>
      <c r="Q604" s="11"/>
      <c r="R604" s="11">
        <v>326</v>
      </c>
      <c r="S604" s="11"/>
      <c r="T604" s="11"/>
      <c r="U604" s="11"/>
      <c r="V604" s="11"/>
      <c r="W604" s="11"/>
      <c r="X604" s="11">
        <v>108</v>
      </c>
      <c r="Y604" s="11">
        <v>72</v>
      </c>
      <c r="Z604" s="11"/>
      <c r="AA604" s="11"/>
      <c r="AB604" s="11"/>
      <c r="AC604" s="11">
        <v>530</v>
      </c>
      <c r="AD604" s="11"/>
      <c r="AE604" s="11"/>
      <c r="AF604" s="11"/>
      <c r="AG604" s="11"/>
      <c r="AH604" s="11"/>
      <c r="AI604" s="11">
        <v>85</v>
      </c>
      <c r="AJ604" s="11"/>
      <c r="AK604" s="11"/>
      <c r="AL604" s="11"/>
      <c r="AM604" s="11"/>
      <c r="AN604" s="11">
        <v>576</v>
      </c>
      <c r="AO604" s="11">
        <v>39</v>
      </c>
      <c r="AP604" s="11"/>
      <c r="AQ604" s="11"/>
      <c r="AR604" s="11"/>
      <c r="AS604" s="11"/>
      <c r="AT604" s="20" t="str">
        <f>HYPERLINK("http://www.openstreetmap.org/?mlat=34.4728&amp;mlon=43.7342&amp;zoom=12#map=12/34.4728/43.7342","Maplink1")</f>
        <v>Maplink1</v>
      </c>
      <c r="AU604" s="20" t="str">
        <f>HYPERLINK("https://www.google.iq/maps/search/+34.4728,43.7342/@34.4728,43.7342,14z?hl=en","Maplink2")</f>
        <v>Maplink2</v>
      </c>
      <c r="AV604" s="20" t="str">
        <f>HYPERLINK("http://www.bing.com/maps/?lvl=14&amp;sty=h&amp;cp=34.4728~43.7342&amp;sp=point.34.4728_43.7342","Maplink3")</f>
        <v>Maplink3</v>
      </c>
    </row>
    <row r="605" spans="1:48" s="19" customFormat="1" x14ac:dyDescent="0.25">
      <c r="A605" s="9">
        <v>20425</v>
      </c>
      <c r="B605" s="10" t="s">
        <v>22</v>
      </c>
      <c r="C605" s="10" t="s">
        <v>1090</v>
      </c>
      <c r="D605" s="10" t="s">
        <v>1091</v>
      </c>
      <c r="E605" s="10" t="s">
        <v>1092</v>
      </c>
      <c r="F605" s="10">
        <v>34.796410000000002</v>
      </c>
      <c r="G605" s="10">
        <v>44.584961999999997</v>
      </c>
      <c r="H605" s="11">
        <v>351</v>
      </c>
      <c r="I605" s="11">
        <v>2106</v>
      </c>
      <c r="J605" s="11"/>
      <c r="K605" s="11"/>
      <c r="L605" s="11">
        <v>21</v>
      </c>
      <c r="M605" s="11"/>
      <c r="N605" s="11"/>
      <c r="O605" s="11"/>
      <c r="P605" s="11"/>
      <c r="Q605" s="11">
        <v>130</v>
      </c>
      <c r="R605" s="11">
        <v>100</v>
      </c>
      <c r="S605" s="11"/>
      <c r="T605" s="11"/>
      <c r="U605" s="11">
        <v>40</v>
      </c>
      <c r="V605" s="11"/>
      <c r="W605" s="11"/>
      <c r="X605" s="11">
        <v>60</v>
      </c>
      <c r="Y605" s="11"/>
      <c r="Z605" s="11"/>
      <c r="AA605" s="11"/>
      <c r="AB605" s="11"/>
      <c r="AC605" s="11">
        <v>330</v>
      </c>
      <c r="AD605" s="11">
        <v>21</v>
      </c>
      <c r="AE605" s="11"/>
      <c r="AF605" s="11"/>
      <c r="AG605" s="11"/>
      <c r="AH605" s="11"/>
      <c r="AI605" s="11"/>
      <c r="AJ605" s="11"/>
      <c r="AK605" s="11"/>
      <c r="AL605" s="11"/>
      <c r="AM605" s="11">
        <v>300</v>
      </c>
      <c r="AN605" s="11">
        <v>51</v>
      </c>
      <c r="AO605" s="11"/>
      <c r="AP605" s="11"/>
      <c r="AQ605" s="11"/>
      <c r="AR605" s="11"/>
      <c r="AS605" s="11"/>
      <c r="AT605" s="20" t="str">
        <f>HYPERLINK("http://www.openstreetmap.org/?mlat=34.7964&amp;mlon=44.585&amp;zoom=12#map=12/34.7964/44.585","Maplink1")</f>
        <v>Maplink1</v>
      </c>
      <c r="AU605" s="20" t="str">
        <f>HYPERLINK("https://www.google.iq/maps/search/+34.7964,44.585/@34.7964,44.585,14z?hl=en","Maplink2")</f>
        <v>Maplink2</v>
      </c>
      <c r="AV605" s="20" t="str">
        <f>HYPERLINK("http://www.bing.com/maps/?lvl=14&amp;sty=h&amp;cp=34.7964~44.585&amp;sp=point.34.7964_44.585","Maplink3")</f>
        <v>Maplink3</v>
      </c>
    </row>
    <row r="606" spans="1:48" s="19" customFormat="1" x14ac:dyDescent="0.25">
      <c r="A606" s="9">
        <v>20484</v>
      </c>
      <c r="B606" s="10" t="s">
        <v>22</v>
      </c>
      <c r="C606" s="10" t="s">
        <v>1090</v>
      </c>
      <c r="D606" s="10" t="s">
        <v>1093</v>
      </c>
      <c r="E606" s="10" t="s">
        <v>1094</v>
      </c>
      <c r="F606" s="10">
        <v>34.818984</v>
      </c>
      <c r="G606" s="10">
        <v>44.557499</v>
      </c>
      <c r="H606" s="11">
        <v>328</v>
      </c>
      <c r="I606" s="11">
        <v>1968</v>
      </c>
      <c r="J606" s="11"/>
      <c r="K606" s="11"/>
      <c r="L606" s="11">
        <v>15</v>
      </c>
      <c r="M606" s="11"/>
      <c r="N606" s="11"/>
      <c r="O606" s="11"/>
      <c r="P606" s="11"/>
      <c r="Q606" s="11">
        <v>50</v>
      </c>
      <c r="R606" s="11">
        <v>35</v>
      </c>
      <c r="S606" s="11"/>
      <c r="T606" s="11"/>
      <c r="U606" s="11">
        <v>35</v>
      </c>
      <c r="V606" s="11"/>
      <c r="W606" s="11"/>
      <c r="X606" s="11">
        <v>193</v>
      </c>
      <c r="Y606" s="11"/>
      <c r="Z606" s="11"/>
      <c r="AA606" s="11"/>
      <c r="AB606" s="11"/>
      <c r="AC606" s="11">
        <v>300</v>
      </c>
      <c r="AD606" s="11">
        <v>28</v>
      </c>
      <c r="AE606" s="11"/>
      <c r="AF606" s="11"/>
      <c r="AG606" s="11"/>
      <c r="AH606" s="11"/>
      <c r="AI606" s="11"/>
      <c r="AJ606" s="11"/>
      <c r="AK606" s="11"/>
      <c r="AL606" s="11"/>
      <c r="AM606" s="11">
        <v>298</v>
      </c>
      <c r="AN606" s="11">
        <v>30</v>
      </c>
      <c r="AO606" s="11"/>
      <c r="AP606" s="11"/>
      <c r="AQ606" s="11"/>
      <c r="AR606" s="11"/>
      <c r="AS606" s="11"/>
      <c r="AT606" s="20" t="str">
        <f>HYPERLINK("http://www.openstreetmap.org/?mlat=34.819&amp;mlon=44.5575&amp;zoom=12#map=12/34.819/44.5575","Maplink1")</f>
        <v>Maplink1</v>
      </c>
      <c r="AU606" s="20" t="str">
        <f>HYPERLINK("https://www.google.iq/maps/search/+34.819,44.5575/@34.819,44.5575,14z?hl=en","Maplink2")</f>
        <v>Maplink2</v>
      </c>
      <c r="AV606" s="20" t="str">
        <f>HYPERLINK("http://www.bing.com/maps/?lvl=14&amp;sty=h&amp;cp=34.819~44.5575&amp;sp=point.34.819_44.5575","Maplink3")</f>
        <v>Maplink3</v>
      </c>
    </row>
    <row r="607" spans="1:48" s="19" customFormat="1" x14ac:dyDescent="0.25">
      <c r="A607" s="9">
        <v>27235</v>
      </c>
      <c r="B607" s="10" t="s">
        <v>22</v>
      </c>
      <c r="C607" s="10" t="s">
        <v>1090</v>
      </c>
      <c r="D607" s="10" t="s">
        <v>1095</v>
      </c>
      <c r="E607" s="10" t="s">
        <v>1096</v>
      </c>
      <c r="F607" s="10">
        <v>34.730262000000003</v>
      </c>
      <c r="G607" s="10">
        <v>44.589300000000001</v>
      </c>
      <c r="H607" s="11">
        <v>35</v>
      </c>
      <c r="I607" s="11">
        <v>210</v>
      </c>
      <c r="J607" s="11"/>
      <c r="K607" s="11"/>
      <c r="L607" s="11">
        <v>5</v>
      </c>
      <c r="M607" s="11"/>
      <c r="N607" s="11"/>
      <c r="O607" s="11"/>
      <c r="P607" s="11"/>
      <c r="Q607" s="11">
        <v>5</v>
      </c>
      <c r="R607" s="11">
        <v>5</v>
      </c>
      <c r="S607" s="11"/>
      <c r="T607" s="11"/>
      <c r="U607" s="11">
        <v>10</v>
      </c>
      <c r="V607" s="11"/>
      <c r="W607" s="11"/>
      <c r="X607" s="11">
        <v>10</v>
      </c>
      <c r="Y607" s="11"/>
      <c r="Z607" s="11"/>
      <c r="AA607" s="11"/>
      <c r="AB607" s="11"/>
      <c r="AC607" s="11">
        <v>35</v>
      </c>
      <c r="AD607" s="11"/>
      <c r="AE607" s="11"/>
      <c r="AF607" s="11"/>
      <c r="AG607" s="11"/>
      <c r="AH607" s="11"/>
      <c r="AI607" s="11"/>
      <c r="AJ607" s="11"/>
      <c r="AK607" s="11"/>
      <c r="AL607" s="11"/>
      <c r="AM607" s="11">
        <v>35</v>
      </c>
      <c r="AN607" s="11"/>
      <c r="AO607" s="11"/>
      <c r="AP607" s="11"/>
      <c r="AQ607" s="11"/>
      <c r="AR607" s="11"/>
      <c r="AS607" s="11"/>
      <c r="AT607" s="20" t="str">
        <f>HYPERLINK("http://www.openstreetmap.org/?mlat=34.7303&amp;mlon=44.5893&amp;zoom=12#map=12/34.7303/44.5893","Maplink1")</f>
        <v>Maplink1</v>
      </c>
      <c r="AU607" s="20" t="str">
        <f>HYPERLINK("https://www.google.iq/maps/search/+34.7303,44.5893/@34.7303,44.5893,14z?hl=en","Maplink2")</f>
        <v>Maplink2</v>
      </c>
      <c r="AV607" s="20" t="str">
        <f>HYPERLINK("http://www.bing.com/maps/?lvl=14&amp;sty=h&amp;cp=34.7303~44.5893&amp;sp=point.34.7303_44.5893","Maplink3")</f>
        <v>Maplink3</v>
      </c>
    </row>
    <row r="608" spans="1:48" s="19" customFormat="1" x14ac:dyDescent="0.25">
      <c r="A608" s="9">
        <v>27238</v>
      </c>
      <c r="B608" s="10" t="s">
        <v>22</v>
      </c>
      <c r="C608" s="10" t="s">
        <v>1090</v>
      </c>
      <c r="D608" s="10" t="s">
        <v>1097</v>
      </c>
      <c r="E608" s="10" t="s">
        <v>1098</v>
      </c>
      <c r="F608" s="10">
        <v>34.722593000000003</v>
      </c>
      <c r="G608" s="10">
        <v>44.583936999999999</v>
      </c>
      <c r="H608" s="11">
        <v>25</v>
      </c>
      <c r="I608" s="11">
        <v>150</v>
      </c>
      <c r="J608" s="11"/>
      <c r="K608" s="11"/>
      <c r="L608" s="11">
        <v>5</v>
      </c>
      <c r="M608" s="11"/>
      <c r="N608" s="11"/>
      <c r="O608" s="11"/>
      <c r="P608" s="11"/>
      <c r="Q608" s="11">
        <v>5</v>
      </c>
      <c r="R608" s="11">
        <v>5</v>
      </c>
      <c r="S608" s="11"/>
      <c r="T608" s="11"/>
      <c r="U608" s="11">
        <v>3</v>
      </c>
      <c r="V608" s="11"/>
      <c r="W608" s="11"/>
      <c r="X608" s="11">
        <v>7</v>
      </c>
      <c r="Y608" s="11"/>
      <c r="Z608" s="11"/>
      <c r="AA608" s="11"/>
      <c r="AB608" s="11"/>
      <c r="AC608" s="11">
        <v>25</v>
      </c>
      <c r="AD608" s="11"/>
      <c r="AE608" s="11"/>
      <c r="AF608" s="11"/>
      <c r="AG608" s="11"/>
      <c r="AH608" s="11"/>
      <c r="AI608" s="11"/>
      <c r="AJ608" s="11"/>
      <c r="AK608" s="11"/>
      <c r="AL608" s="11"/>
      <c r="AM608" s="11">
        <v>25</v>
      </c>
      <c r="AN608" s="11"/>
      <c r="AO608" s="11"/>
      <c r="AP608" s="11"/>
      <c r="AQ608" s="11"/>
      <c r="AR608" s="11"/>
      <c r="AS608" s="11"/>
      <c r="AT608" s="20" t="str">
        <f>HYPERLINK("http://www.openstreetmap.org/?mlat=34.7226&amp;mlon=44.5839&amp;zoom=12#map=12/34.7226/44.5839","Maplink1")</f>
        <v>Maplink1</v>
      </c>
      <c r="AU608" s="20" t="str">
        <f>HYPERLINK("https://www.google.iq/maps/search/+34.7226,44.5839/@34.7226,44.5839,14z?hl=en","Maplink2")</f>
        <v>Maplink2</v>
      </c>
      <c r="AV608" s="20" t="str">
        <f>HYPERLINK("http://www.bing.com/maps/?lvl=14&amp;sty=h&amp;cp=34.7226~44.5839&amp;sp=point.34.7226_44.5839","Maplink3")</f>
        <v>Maplink3</v>
      </c>
    </row>
    <row r="609" spans="1:48" s="19" customFormat="1" x14ac:dyDescent="0.25">
      <c r="A609" s="9">
        <v>27234</v>
      </c>
      <c r="B609" s="10" t="s">
        <v>22</v>
      </c>
      <c r="C609" s="10" t="s">
        <v>1090</v>
      </c>
      <c r="D609" s="10" t="s">
        <v>1099</v>
      </c>
      <c r="E609" s="10" t="s">
        <v>833</v>
      </c>
      <c r="F609" s="10">
        <v>34.726584000000003</v>
      </c>
      <c r="G609" s="10">
        <v>44.584608000000003</v>
      </c>
      <c r="H609" s="11">
        <v>85</v>
      </c>
      <c r="I609" s="11">
        <v>510</v>
      </c>
      <c r="J609" s="11"/>
      <c r="K609" s="11"/>
      <c r="L609" s="11"/>
      <c r="M609" s="11"/>
      <c r="N609" s="11"/>
      <c r="O609" s="11"/>
      <c r="P609" s="11"/>
      <c r="Q609" s="11">
        <v>15</v>
      </c>
      <c r="R609" s="11">
        <v>30</v>
      </c>
      <c r="S609" s="11"/>
      <c r="T609" s="11"/>
      <c r="U609" s="11">
        <v>10</v>
      </c>
      <c r="V609" s="11"/>
      <c r="W609" s="11"/>
      <c r="X609" s="11">
        <v>30</v>
      </c>
      <c r="Y609" s="11"/>
      <c r="Z609" s="11"/>
      <c r="AA609" s="11"/>
      <c r="AB609" s="11"/>
      <c r="AC609" s="11">
        <v>85</v>
      </c>
      <c r="AD609" s="11"/>
      <c r="AE609" s="11"/>
      <c r="AF609" s="11"/>
      <c r="AG609" s="11"/>
      <c r="AH609" s="11"/>
      <c r="AI609" s="11"/>
      <c r="AJ609" s="11"/>
      <c r="AK609" s="11"/>
      <c r="AL609" s="11"/>
      <c r="AM609" s="11">
        <v>65</v>
      </c>
      <c r="AN609" s="11">
        <v>20</v>
      </c>
      <c r="AO609" s="11"/>
      <c r="AP609" s="11"/>
      <c r="AQ609" s="11"/>
      <c r="AR609" s="11"/>
      <c r="AS609" s="11"/>
      <c r="AT609" s="20" t="str">
        <f>HYPERLINK("http://www.openstreetmap.org/?mlat=34.7266&amp;mlon=44.5846&amp;zoom=12#map=12/34.7266/44.5846","Maplink1")</f>
        <v>Maplink1</v>
      </c>
      <c r="AU609" s="20" t="str">
        <f>HYPERLINK("https://www.google.iq/maps/search/+34.7266,44.5846/@34.7266,44.5846,14z?hl=en","Maplink2")</f>
        <v>Maplink2</v>
      </c>
      <c r="AV609" s="20" t="str">
        <f>HYPERLINK("http://www.bing.com/maps/?lvl=14&amp;sty=h&amp;cp=34.7266~44.5846&amp;sp=point.34.7266_44.5846","Maplink3")</f>
        <v>Maplink3</v>
      </c>
    </row>
    <row r="610" spans="1:48" s="19" customFormat="1" x14ac:dyDescent="0.25">
      <c r="A610" s="9">
        <v>27236</v>
      </c>
      <c r="B610" s="10" t="s">
        <v>22</v>
      </c>
      <c r="C610" s="10" t="s">
        <v>1090</v>
      </c>
      <c r="D610" s="10" t="s">
        <v>1100</v>
      </c>
      <c r="E610" s="10" t="s">
        <v>763</v>
      </c>
      <c r="F610" s="10">
        <v>34.727373999999998</v>
      </c>
      <c r="G610" s="10">
        <v>44.58222</v>
      </c>
      <c r="H610" s="11">
        <v>45</v>
      </c>
      <c r="I610" s="11">
        <v>270</v>
      </c>
      <c r="J610" s="11"/>
      <c r="K610" s="11"/>
      <c r="L610" s="11"/>
      <c r="M610" s="11"/>
      <c r="N610" s="11"/>
      <c r="O610" s="11"/>
      <c r="P610" s="11"/>
      <c r="Q610" s="11">
        <v>10</v>
      </c>
      <c r="R610" s="11">
        <v>10</v>
      </c>
      <c r="S610" s="11"/>
      <c r="T610" s="11"/>
      <c r="U610" s="11">
        <v>5</v>
      </c>
      <c r="V610" s="11"/>
      <c r="W610" s="11"/>
      <c r="X610" s="11">
        <v>20</v>
      </c>
      <c r="Y610" s="11"/>
      <c r="Z610" s="11"/>
      <c r="AA610" s="11"/>
      <c r="AB610" s="11"/>
      <c r="AC610" s="11">
        <v>45</v>
      </c>
      <c r="AD610" s="11"/>
      <c r="AE610" s="11"/>
      <c r="AF610" s="11"/>
      <c r="AG610" s="11"/>
      <c r="AH610" s="11"/>
      <c r="AI610" s="11"/>
      <c r="AJ610" s="11"/>
      <c r="AK610" s="11"/>
      <c r="AL610" s="11"/>
      <c r="AM610" s="11">
        <v>45</v>
      </c>
      <c r="AN610" s="11"/>
      <c r="AO610" s="11"/>
      <c r="AP610" s="11"/>
      <c r="AQ610" s="11"/>
      <c r="AR610" s="11"/>
      <c r="AS610" s="11"/>
      <c r="AT610" s="20" t="str">
        <f>HYPERLINK("http://www.openstreetmap.org/?mlat=34.7274&amp;mlon=44.5822&amp;zoom=12#map=12/34.7274/44.5822","Maplink1")</f>
        <v>Maplink1</v>
      </c>
      <c r="AU610" s="20" t="str">
        <f>HYPERLINK("https://www.google.iq/maps/search/+34.7274,44.5822/@34.7274,44.5822,14z?hl=en","Maplink2")</f>
        <v>Maplink2</v>
      </c>
      <c r="AV610" s="20" t="str">
        <f>HYPERLINK("http://www.bing.com/maps/?lvl=14&amp;sty=h&amp;cp=34.7274~44.5822&amp;sp=point.34.7274_44.5822","Maplink3")</f>
        <v>Maplink3</v>
      </c>
    </row>
    <row r="611" spans="1:48" s="19" customFormat="1" x14ac:dyDescent="0.25">
      <c r="A611" s="9">
        <v>27237</v>
      </c>
      <c r="B611" s="10" t="s">
        <v>22</v>
      </c>
      <c r="C611" s="10" t="s">
        <v>1090</v>
      </c>
      <c r="D611" s="10" t="s">
        <v>1101</v>
      </c>
      <c r="E611" s="10" t="s">
        <v>232</v>
      </c>
      <c r="F611" s="10">
        <v>34.724364000000001</v>
      </c>
      <c r="G611" s="10">
        <v>44.587766000000002</v>
      </c>
      <c r="H611" s="11">
        <v>40</v>
      </c>
      <c r="I611" s="11">
        <v>240</v>
      </c>
      <c r="J611" s="11"/>
      <c r="K611" s="11"/>
      <c r="L611" s="11"/>
      <c r="M611" s="11"/>
      <c r="N611" s="11"/>
      <c r="O611" s="11"/>
      <c r="P611" s="11"/>
      <c r="Q611" s="11">
        <v>10</v>
      </c>
      <c r="R611" s="11">
        <v>15</v>
      </c>
      <c r="S611" s="11"/>
      <c r="T611" s="11"/>
      <c r="U611" s="11">
        <v>5</v>
      </c>
      <c r="V611" s="11"/>
      <c r="W611" s="11"/>
      <c r="X611" s="11">
        <v>10</v>
      </c>
      <c r="Y611" s="11"/>
      <c r="Z611" s="11"/>
      <c r="AA611" s="11"/>
      <c r="AB611" s="11"/>
      <c r="AC611" s="11">
        <v>40</v>
      </c>
      <c r="AD611" s="11"/>
      <c r="AE611" s="11"/>
      <c r="AF611" s="11"/>
      <c r="AG611" s="11"/>
      <c r="AH611" s="11"/>
      <c r="AI611" s="11"/>
      <c r="AJ611" s="11"/>
      <c r="AK611" s="11"/>
      <c r="AL611" s="11"/>
      <c r="AM611" s="11">
        <v>35</v>
      </c>
      <c r="AN611" s="11">
        <v>5</v>
      </c>
      <c r="AO611" s="11"/>
      <c r="AP611" s="11"/>
      <c r="AQ611" s="11"/>
      <c r="AR611" s="11"/>
      <c r="AS611" s="11"/>
      <c r="AT611" s="20" t="str">
        <f>HYPERLINK("http://www.openstreetmap.org/?mlat=34.7244&amp;mlon=44.5878&amp;zoom=12#map=12/34.7244/44.5878","Maplink1")</f>
        <v>Maplink1</v>
      </c>
      <c r="AU611" s="20" t="str">
        <f>HYPERLINK("https://www.google.iq/maps/search/+34.7244,44.5878/@34.7244,44.5878,14z?hl=en","Maplink2")</f>
        <v>Maplink2</v>
      </c>
      <c r="AV611" s="20" t="str">
        <f>HYPERLINK("http://www.bing.com/maps/?lvl=14&amp;sty=h&amp;cp=34.7244~44.5878&amp;sp=point.34.7244_44.5878","Maplink3")</f>
        <v>Maplink3</v>
      </c>
    </row>
    <row r="612" spans="1:48" s="19" customFormat="1" x14ac:dyDescent="0.25">
      <c r="A612" s="9">
        <v>27239</v>
      </c>
      <c r="B612" s="10" t="s">
        <v>22</v>
      </c>
      <c r="C612" s="10" t="s">
        <v>1090</v>
      </c>
      <c r="D612" s="10" t="s">
        <v>1102</v>
      </c>
      <c r="E612" s="10" t="s">
        <v>1103</v>
      </c>
      <c r="F612" s="10">
        <v>34.725079999999998</v>
      </c>
      <c r="G612" s="10">
        <v>44.580514999999998</v>
      </c>
      <c r="H612" s="11">
        <v>43</v>
      </c>
      <c r="I612" s="11">
        <v>258</v>
      </c>
      <c r="J612" s="11"/>
      <c r="K612" s="11"/>
      <c r="L612" s="11"/>
      <c r="M612" s="11"/>
      <c r="N612" s="11"/>
      <c r="O612" s="11"/>
      <c r="P612" s="11"/>
      <c r="Q612" s="11">
        <v>8</v>
      </c>
      <c r="R612" s="11">
        <v>15</v>
      </c>
      <c r="S612" s="11"/>
      <c r="T612" s="11"/>
      <c r="U612" s="11">
        <v>8</v>
      </c>
      <c r="V612" s="11"/>
      <c r="W612" s="11"/>
      <c r="X612" s="11">
        <v>12</v>
      </c>
      <c r="Y612" s="11"/>
      <c r="Z612" s="11"/>
      <c r="AA612" s="11"/>
      <c r="AB612" s="11"/>
      <c r="AC612" s="11">
        <v>43</v>
      </c>
      <c r="AD612" s="11"/>
      <c r="AE612" s="11"/>
      <c r="AF612" s="11"/>
      <c r="AG612" s="11"/>
      <c r="AH612" s="11"/>
      <c r="AI612" s="11"/>
      <c r="AJ612" s="11"/>
      <c r="AK612" s="11"/>
      <c r="AL612" s="11"/>
      <c r="AM612" s="11">
        <v>43</v>
      </c>
      <c r="AN612" s="11"/>
      <c r="AO612" s="11"/>
      <c r="AP612" s="11"/>
      <c r="AQ612" s="11"/>
      <c r="AR612" s="11"/>
      <c r="AS612" s="11"/>
      <c r="AT612" s="20" t="str">
        <f>HYPERLINK("http://www.openstreetmap.org/?mlat=34.7251&amp;mlon=44.5805&amp;zoom=12#map=12/34.7251/44.5805","Maplink1")</f>
        <v>Maplink1</v>
      </c>
      <c r="AU612" s="20" t="str">
        <f>HYPERLINK("https://www.google.iq/maps/search/+34.7251,44.5805/@34.7251,44.5805,14z?hl=en","Maplink2")</f>
        <v>Maplink2</v>
      </c>
      <c r="AV612" s="20" t="str">
        <f>HYPERLINK("http://www.bing.com/maps/?lvl=14&amp;sty=h&amp;cp=34.7251~44.5805&amp;sp=point.34.7251_44.5805","Maplink3")</f>
        <v>Maplink3</v>
      </c>
    </row>
    <row r="613" spans="1:48" s="19" customFormat="1" x14ac:dyDescent="0.25">
      <c r="A613" s="9">
        <v>27240</v>
      </c>
      <c r="B613" s="10" t="s">
        <v>22</v>
      </c>
      <c r="C613" s="10" t="s">
        <v>1090</v>
      </c>
      <c r="D613" s="10" t="s">
        <v>1104</v>
      </c>
      <c r="E613" s="10" t="s">
        <v>1105</v>
      </c>
      <c r="F613" s="10">
        <v>34.724910000000001</v>
      </c>
      <c r="G613" s="10">
        <v>44.590226000000001</v>
      </c>
      <c r="H613" s="11">
        <v>20</v>
      </c>
      <c r="I613" s="11">
        <v>120</v>
      </c>
      <c r="J613" s="11"/>
      <c r="K613" s="11"/>
      <c r="L613" s="11"/>
      <c r="M613" s="11"/>
      <c r="N613" s="11"/>
      <c r="O613" s="11"/>
      <c r="P613" s="11"/>
      <c r="Q613" s="11"/>
      <c r="R613" s="11">
        <v>5</v>
      </c>
      <c r="S613" s="11"/>
      <c r="T613" s="11"/>
      <c r="U613" s="11">
        <v>5</v>
      </c>
      <c r="V613" s="11"/>
      <c r="W613" s="11"/>
      <c r="X613" s="11">
        <v>10</v>
      </c>
      <c r="Y613" s="11"/>
      <c r="Z613" s="11"/>
      <c r="AA613" s="11"/>
      <c r="AB613" s="11"/>
      <c r="AC613" s="11">
        <v>20</v>
      </c>
      <c r="AD613" s="11"/>
      <c r="AE613" s="11"/>
      <c r="AF613" s="11"/>
      <c r="AG613" s="11"/>
      <c r="AH613" s="11"/>
      <c r="AI613" s="11"/>
      <c r="AJ613" s="11"/>
      <c r="AK613" s="11"/>
      <c r="AL613" s="11"/>
      <c r="AM613" s="11">
        <v>20</v>
      </c>
      <c r="AN613" s="11"/>
      <c r="AO613" s="11"/>
      <c r="AP613" s="11"/>
      <c r="AQ613" s="11"/>
      <c r="AR613" s="11"/>
      <c r="AS613" s="11"/>
      <c r="AT613" s="20" t="str">
        <f>HYPERLINK("http://www.openstreetmap.org/?mlat=34.7249&amp;mlon=44.5902&amp;zoom=12#map=12/34.7249/44.5902","Maplink1")</f>
        <v>Maplink1</v>
      </c>
      <c r="AU613" s="20" t="str">
        <f>HYPERLINK("https://www.google.iq/maps/search/+34.7249,44.5902/@34.7249,44.5902,14z?hl=en","Maplink2")</f>
        <v>Maplink2</v>
      </c>
      <c r="AV613" s="20" t="str">
        <f>HYPERLINK("http://www.bing.com/maps/?lvl=14&amp;sty=h&amp;cp=34.7249~44.5902&amp;sp=point.34.7249_44.5902","Maplink3")</f>
        <v>Maplink3</v>
      </c>
    </row>
    <row r="614" spans="1:48" s="19" customFormat="1" x14ac:dyDescent="0.25">
      <c r="A614" s="9">
        <v>27241</v>
      </c>
      <c r="B614" s="10" t="s">
        <v>22</v>
      </c>
      <c r="C614" s="10" t="s">
        <v>1090</v>
      </c>
      <c r="D614" s="10" t="s">
        <v>1106</v>
      </c>
      <c r="E614" s="10" t="s">
        <v>1107</v>
      </c>
      <c r="F614" s="10">
        <v>34.719239999999999</v>
      </c>
      <c r="G614" s="10">
        <v>44.581716</v>
      </c>
      <c r="H614" s="11">
        <v>30</v>
      </c>
      <c r="I614" s="11">
        <v>180</v>
      </c>
      <c r="J614" s="11"/>
      <c r="K614" s="11"/>
      <c r="L614" s="11"/>
      <c r="M614" s="11"/>
      <c r="N614" s="11"/>
      <c r="O614" s="11"/>
      <c r="P614" s="11"/>
      <c r="Q614" s="11">
        <v>4</v>
      </c>
      <c r="R614" s="11">
        <v>10</v>
      </c>
      <c r="S614" s="11"/>
      <c r="T614" s="11"/>
      <c r="U614" s="11">
        <v>1</v>
      </c>
      <c r="V614" s="11"/>
      <c r="W614" s="11"/>
      <c r="X614" s="11">
        <v>15</v>
      </c>
      <c r="Y614" s="11"/>
      <c r="Z614" s="11"/>
      <c r="AA614" s="11"/>
      <c r="AB614" s="11"/>
      <c r="AC614" s="11">
        <v>30</v>
      </c>
      <c r="AD614" s="11"/>
      <c r="AE614" s="11"/>
      <c r="AF614" s="11"/>
      <c r="AG614" s="11"/>
      <c r="AH614" s="11"/>
      <c r="AI614" s="11"/>
      <c r="AJ614" s="11"/>
      <c r="AK614" s="11"/>
      <c r="AL614" s="11"/>
      <c r="AM614" s="11">
        <v>30</v>
      </c>
      <c r="AN614" s="11"/>
      <c r="AO614" s="11"/>
      <c r="AP614" s="11"/>
      <c r="AQ614" s="11"/>
      <c r="AR614" s="11"/>
      <c r="AS614" s="11"/>
      <c r="AT614" s="20" t="str">
        <f>HYPERLINK("http://www.openstreetmap.org/?mlat=34.7192&amp;mlon=44.5817&amp;zoom=12#map=12/34.7192/44.5817","Maplink1")</f>
        <v>Maplink1</v>
      </c>
      <c r="AU614" s="20" t="str">
        <f>HYPERLINK("https://www.google.iq/maps/search/+34.7192,44.5817/@34.7192,44.5817,14z?hl=en","Maplink2")</f>
        <v>Maplink2</v>
      </c>
      <c r="AV614" s="20" t="str">
        <f>HYPERLINK("http://www.bing.com/maps/?lvl=14&amp;sty=h&amp;cp=34.7192~44.5817&amp;sp=point.34.7192_44.5817","Maplink3")</f>
        <v>Maplink3</v>
      </c>
    </row>
    <row r="615" spans="1:48" s="19" customFormat="1" x14ac:dyDescent="0.25">
      <c r="A615" s="9">
        <v>27242</v>
      </c>
      <c r="B615" s="10" t="s">
        <v>22</v>
      </c>
      <c r="C615" s="10" t="s">
        <v>1090</v>
      </c>
      <c r="D615" s="10" t="s">
        <v>1108</v>
      </c>
      <c r="E615" s="10" t="s">
        <v>1109</v>
      </c>
      <c r="F615" s="10">
        <v>34.785884000000003</v>
      </c>
      <c r="G615" s="10">
        <v>44.570115999999999</v>
      </c>
      <c r="H615" s="11">
        <v>186</v>
      </c>
      <c r="I615" s="11">
        <v>1116</v>
      </c>
      <c r="J615" s="11"/>
      <c r="K615" s="11"/>
      <c r="L615" s="11">
        <v>7</v>
      </c>
      <c r="M615" s="11"/>
      <c r="N615" s="11"/>
      <c r="O615" s="11"/>
      <c r="P615" s="11"/>
      <c r="Q615" s="11">
        <v>10</v>
      </c>
      <c r="R615" s="11">
        <v>20</v>
      </c>
      <c r="S615" s="11"/>
      <c r="T615" s="11"/>
      <c r="U615" s="11">
        <v>20</v>
      </c>
      <c r="V615" s="11"/>
      <c r="W615" s="11"/>
      <c r="X615" s="11">
        <v>129</v>
      </c>
      <c r="Y615" s="11"/>
      <c r="Z615" s="11"/>
      <c r="AA615" s="11"/>
      <c r="AB615" s="11"/>
      <c r="AC615" s="11">
        <v>170</v>
      </c>
      <c r="AD615" s="11">
        <v>16</v>
      </c>
      <c r="AE615" s="11"/>
      <c r="AF615" s="11"/>
      <c r="AG615" s="11"/>
      <c r="AH615" s="11"/>
      <c r="AI615" s="11"/>
      <c r="AJ615" s="11"/>
      <c r="AK615" s="11"/>
      <c r="AL615" s="11"/>
      <c r="AM615" s="11">
        <v>170</v>
      </c>
      <c r="AN615" s="11">
        <v>16</v>
      </c>
      <c r="AO615" s="11"/>
      <c r="AP615" s="11"/>
      <c r="AQ615" s="11"/>
      <c r="AR615" s="11"/>
      <c r="AS615" s="11"/>
      <c r="AT615" s="20" t="str">
        <f>HYPERLINK("http://www.openstreetmap.org/?mlat=34.7859&amp;mlon=44.5701&amp;zoom=12#map=12/34.7859/44.5701","Maplink1")</f>
        <v>Maplink1</v>
      </c>
      <c r="AU615" s="20" t="str">
        <f>HYPERLINK("https://www.google.iq/maps/search/+34.7859,44.5701/@34.7859,44.5701,14z?hl=en","Maplink2")</f>
        <v>Maplink2</v>
      </c>
      <c r="AV615" s="20" t="str">
        <f>HYPERLINK("http://www.bing.com/maps/?lvl=14&amp;sty=h&amp;cp=34.7859~44.5701&amp;sp=point.34.7859_44.5701","Maplink3")</f>
        <v>Maplink3</v>
      </c>
    </row>
  </sheetData>
  <autoFilter ref="A4:AV581"/>
  <mergeCells count="6">
    <mergeCell ref="A1:E1"/>
    <mergeCell ref="J3:AA3"/>
    <mergeCell ref="AB3:AL3"/>
    <mergeCell ref="AT3:AV3"/>
    <mergeCell ref="A3:G3"/>
    <mergeCell ref="AM3:AR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zoomScaleNormal="100" workbookViewId="0">
      <selection activeCell="B8" sqref="B8"/>
    </sheetView>
  </sheetViews>
  <sheetFormatPr defaultRowHeight="15" x14ac:dyDescent="0.25"/>
  <cols>
    <col min="1" max="1" width="18.285156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14" width="10.28515625" customWidth="1"/>
    <col min="15" max="15" width="11.42578125" customWidth="1"/>
    <col min="16" max="20" width="10.28515625" customWidth="1"/>
    <col min="21" max="21" width="255" customWidth="1"/>
  </cols>
  <sheetData>
    <row r="1" spans="1:18" ht="25.5" x14ac:dyDescent="0.25">
      <c r="A1" s="51" t="s">
        <v>37</v>
      </c>
      <c r="B1" s="51"/>
      <c r="C1" s="29" t="s">
        <v>38</v>
      </c>
      <c r="D1" s="29" t="s">
        <v>39</v>
      </c>
      <c r="E1" s="29" t="s">
        <v>40</v>
      </c>
      <c r="F1" s="29" t="s">
        <v>41</v>
      </c>
    </row>
    <row r="2" spans="1:18" s="15" customFormat="1" x14ac:dyDescent="0.25">
      <c r="A2" s="61" t="s">
        <v>1110</v>
      </c>
      <c r="B2" s="62"/>
      <c r="C2" s="28">
        <f>COUNT('RETURNEE DATASET'!AM:AM)</f>
        <v>109</v>
      </c>
      <c r="D2" s="28">
        <f>SUM('RETURNEE DATASET'!AM:AM)</f>
        <v>37967</v>
      </c>
      <c r="E2" s="28">
        <f t="shared" ref="E2:E7" si="0">D2*6</f>
        <v>227802</v>
      </c>
      <c r="F2" s="30">
        <f t="shared" ref="F2:F8" si="1">E2/$E$9</f>
        <v>0.14719656966510813</v>
      </c>
    </row>
    <row r="3" spans="1:18" x14ac:dyDescent="0.25">
      <c r="A3" s="56" t="s">
        <v>42</v>
      </c>
      <c r="B3" s="57"/>
      <c r="C3" s="2">
        <f>COUNT('RETURNEE DATASET'!AN:AN)</f>
        <v>262</v>
      </c>
      <c r="D3" s="2">
        <f>SUM('RETURNEE DATASET'!AN:AN)</f>
        <v>61033</v>
      </c>
      <c r="E3" s="2">
        <f t="shared" si="0"/>
        <v>366198</v>
      </c>
      <c r="F3" s="3">
        <f t="shared" si="1"/>
        <v>0.23662254685307094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56" t="s">
        <v>43</v>
      </c>
      <c r="B4" s="57"/>
      <c r="C4" s="2">
        <f>COUNT('RETURNEE DATASET'!AO:AO)</f>
        <v>224</v>
      </c>
      <c r="D4" s="2">
        <f>SUM('RETURNEE DATASET'!AO:AO)</f>
        <v>43010</v>
      </c>
      <c r="E4" s="2">
        <f t="shared" si="0"/>
        <v>258060</v>
      </c>
      <c r="F4" s="3">
        <f t="shared" si="1"/>
        <v>0.1667480828428978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56" t="s">
        <v>44</v>
      </c>
      <c r="B5" s="57"/>
      <c r="C5" s="2">
        <f>COUNT('RETURNEE DATASET'!AP:AP)</f>
        <v>210</v>
      </c>
      <c r="D5" s="2">
        <f>SUM('RETURNEE DATASET'!AP:AP)</f>
        <v>43350</v>
      </c>
      <c r="E5" s="2">
        <f t="shared" si="0"/>
        <v>260100</v>
      </c>
      <c r="F5" s="3">
        <f t="shared" si="1"/>
        <v>0.16806624950568749</v>
      </c>
      <c r="H5" s="8"/>
      <c r="I5" s="12"/>
      <c r="J5" s="13"/>
      <c r="K5" s="8"/>
    </row>
    <row r="6" spans="1:18" x14ac:dyDescent="0.25">
      <c r="A6" s="56" t="s">
        <v>45</v>
      </c>
      <c r="B6" s="57"/>
      <c r="C6" s="2">
        <f>COUNT('RETURNEE DATASET'!AQ:AQ)</f>
        <v>100</v>
      </c>
      <c r="D6" s="2">
        <f>SUM('RETURNEE DATASET'!AQ:AQ)</f>
        <v>37372</v>
      </c>
      <c r="E6" s="2">
        <f t="shared" si="0"/>
        <v>224232</v>
      </c>
      <c r="F6" s="3">
        <f t="shared" si="1"/>
        <v>0.14488977800522615</v>
      </c>
      <c r="H6" s="8"/>
      <c r="I6" s="12"/>
      <c r="J6" s="13"/>
      <c r="K6" s="8"/>
    </row>
    <row r="7" spans="1:18" s="19" customFormat="1" x14ac:dyDescent="0.25">
      <c r="A7" s="63" t="s">
        <v>72</v>
      </c>
      <c r="B7" s="64"/>
      <c r="C7" s="2">
        <f>COUNT('RETURNEE DATASET'!AR:AUR)</f>
        <v>151</v>
      </c>
      <c r="D7" s="2">
        <f>SUM('RETURNEE DATASET'!AR:AR)</f>
        <v>27567</v>
      </c>
      <c r="E7" s="2">
        <f t="shared" si="0"/>
        <v>165402</v>
      </c>
      <c r="F7" s="3">
        <f t="shared" si="1"/>
        <v>0.10687617762683477</v>
      </c>
      <c r="J7" s="13"/>
    </row>
    <row r="8" spans="1:18" s="19" customFormat="1" ht="17.25" customHeight="1" x14ac:dyDescent="0.25">
      <c r="A8" s="45" t="s">
        <v>1111</v>
      </c>
      <c r="B8" s="46"/>
      <c r="C8" s="2">
        <f>COUNT('RETURNEE DATASET'!AS:AS)</f>
        <v>70</v>
      </c>
      <c r="D8" s="2">
        <f>SUM('RETURNEE DATASET'!AS:AS)</f>
        <v>7635</v>
      </c>
      <c r="E8" s="2">
        <f>D8*6</f>
        <v>45810</v>
      </c>
      <c r="F8" s="3">
        <f t="shared" si="1"/>
        <v>2.960059550117472E-2</v>
      </c>
      <c r="J8" s="13"/>
    </row>
    <row r="9" spans="1:18" x14ac:dyDescent="0.25">
      <c r="A9" s="56" t="s">
        <v>0</v>
      </c>
      <c r="B9" s="57"/>
      <c r="C9" s="2"/>
      <c r="D9" s="14">
        <f>SUM(D2:D8)</f>
        <v>257934</v>
      </c>
      <c r="E9" s="14">
        <f>SUM(E2:E8)</f>
        <v>1547604</v>
      </c>
      <c r="F9" s="17">
        <f>SUM(F2:F8)</f>
        <v>1</v>
      </c>
      <c r="H9" s="8"/>
      <c r="I9" s="8"/>
      <c r="J9" s="8"/>
      <c r="K9" s="8"/>
    </row>
    <row r="10" spans="1:18" ht="18" customHeight="1" x14ac:dyDescent="0.25"/>
    <row r="11" spans="1:18" ht="15" customHeight="1" x14ac:dyDescent="0.25">
      <c r="A11" s="24" t="s">
        <v>0</v>
      </c>
      <c r="B11" s="58" t="s">
        <v>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</row>
    <row r="12" spans="1:18" ht="25.5" x14ac:dyDescent="0.25">
      <c r="A12" s="25" t="s">
        <v>46</v>
      </c>
      <c r="B12" s="23" t="s">
        <v>26</v>
      </c>
      <c r="C12" s="23" t="s">
        <v>34</v>
      </c>
      <c r="D12" s="23" t="s">
        <v>28</v>
      </c>
      <c r="E12" s="23" t="s">
        <v>33</v>
      </c>
      <c r="F12" s="23" t="s">
        <v>32</v>
      </c>
      <c r="G12" s="23" t="s">
        <v>35</v>
      </c>
      <c r="H12" s="23" t="s">
        <v>30</v>
      </c>
      <c r="I12" s="23" t="s">
        <v>27</v>
      </c>
      <c r="J12" s="23" t="s">
        <v>29</v>
      </c>
      <c r="K12" s="23" t="s">
        <v>31</v>
      </c>
      <c r="L12" s="23" t="s">
        <v>36</v>
      </c>
      <c r="M12" s="23" t="s">
        <v>47</v>
      </c>
    </row>
    <row r="13" spans="1:18" x14ac:dyDescent="0.25">
      <c r="A13" s="1" t="s">
        <v>8</v>
      </c>
      <c r="B13" s="2">
        <f>SUMIF('RETURNEE DATASET'!B:B,A13,'RETURNEE DATASET'!AB:AB)</f>
        <v>0</v>
      </c>
      <c r="C13" s="2">
        <f>SUMIF('RETURNEE DATASET'!B:B,A13,'RETURNEE DATASET'!AC:AC)</f>
        <v>115471</v>
      </c>
      <c r="D13" s="2">
        <f>SUMIF('RETURNEE DATASET'!B:B,A13,'RETURNEE DATASET'!AD:AD)</f>
        <v>0</v>
      </c>
      <c r="E13" s="2">
        <f>SUMIF('RETURNEE DATASET'!B:B,A13,'RETURNEE DATASET'!AE:AE)</f>
        <v>0</v>
      </c>
      <c r="F13" s="2">
        <f>SUMIF('RETURNEE DATASET'!B:B,A13,'RETURNEE DATASET'!AF:AF)</f>
        <v>0</v>
      </c>
      <c r="G13" s="2">
        <f>SUMIF('RETURNEE DATASET'!B:B,A13,'RETURNEE DATASET'!AG:AG)</f>
        <v>0</v>
      </c>
      <c r="H13" s="2">
        <f>SUMIF('RETURNEE DATASET'!B:B,A13,'RETURNEE DATASET'!AH:AH)</f>
        <v>0</v>
      </c>
      <c r="I13" s="2">
        <f>SUMIF('RETURNEE DATASET'!B:B,A13,'RETURNEE DATASET'!AI:AI)</f>
        <v>1652</v>
      </c>
      <c r="J13" s="2">
        <f>SUMIF('RETURNEE DATASET'!B:B,A13,'RETURNEE DATASET'!AJ:AJ)</f>
        <v>0</v>
      </c>
      <c r="K13" s="2">
        <f>SUMIF('RETURNEE DATASET'!B:B,A13,'RETURNEE DATASET'!AK:AK)</f>
        <v>0</v>
      </c>
      <c r="L13" s="2">
        <f>SUMIF('RETURNEE DATASET'!B:B,A13,'RETURNEE DATASET'!AL:AL)</f>
        <v>0</v>
      </c>
      <c r="M13" s="2">
        <f>SUM(B13:L13)</f>
        <v>117123</v>
      </c>
    </row>
    <row r="14" spans="1:18" s="19" customFormat="1" x14ac:dyDescent="0.25">
      <c r="A14" s="40" t="s">
        <v>10</v>
      </c>
      <c r="B14" s="2">
        <f>SUMIF('RETURNEE DATASET'!B:B,A14,'RETURNEE DATASET'!AB:AB)</f>
        <v>0</v>
      </c>
      <c r="C14" s="2">
        <f>SUMIF('RETURNEE DATASET'!B:B,A14,'RETURNEE DATASET'!AC:AC)</f>
        <v>5178</v>
      </c>
      <c r="D14" s="2">
        <f>SUMIF('RETURNEE DATASET'!B:B,A14,'RETURNEE DATASET'!AD:AD)</f>
        <v>0</v>
      </c>
      <c r="E14" s="2">
        <f>SUMIF('RETURNEE DATASET'!B:B,A14,'RETURNEE DATASET'!AE:AE)</f>
        <v>0</v>
      </c>
      <c r="F14" s="2">
        <f>SUMIF('RETURNEE DATASET'!B:B,A14,'RETURNEE DATASET'!AF:AF)</f>
        <v>0</v>
      </c>
      <c r="G14" s="2">
        <f>SUMIF('RETURNEE DATASET'!B:B,A14,'RETURNEE DATASET'!AG:AG)</f>
        <v>0</v>
      </c>
      <c r="H14" s="2">
        <f>SUMIF('RETURNEE DATASET'!B:B,A14,'RETURNEE DATASET'!AH:AH)</f>
        <v>0</v>
      </c>
      <c r="I14" s="2">
        <f>SUMIF('RETURNEE DATASET'!B:B,A14,'RETURNEE DATASET'!AI:AI)</f>
        <v>0</v>
      </c>
      <c r="J14" s="2">
        <f>SUMIF('RETURNEE DATASET'!B:B,A14,'RETURNEE DATASET'!AJ:AJ)</f>
        <v>0</v>
      </c>
      <c r="K14" s="2">
        <f>SUMIF('RETURNEE DATASET'!B:B,A14,'RETURNEE DATASET'!AK:AK)</f>
        <v>0</v>
      </c>
      <c r="L14" s="2">
        <f>SUMIF('RETURNEE DATASET'!B:B,A14,'RETURNEE DATASET'!AL:AL)</f>
        <v>0</v>
      </c>
      <c r="M14" s="2">
        <f>SUM(B14:L14)</f>
        <v>5178</v>
      </c>
    </row>
    <row r="15" spans="1:18" x14ac:dyDescent="0.25">
      <c r="A15" s="1" t="s">
        <v>13</v>
      </c>
      <c r="B15" s="2">
        <f>SUMIF('RETURNEE DATASET'!B:B,A15,'RETURNEE DATASET'!AB:AB)</f>
        <v>0</v>
      </c>
      <c r="C15" s="2">
        <f>SUMIF('RETURNEE DATASET'!B:B,A15,'RETURNEE DATASET'!AC:AC)</f>
        <v>24858</v>
      </c>
      <c r="D15" s="2">
        <f>SUMIF('RETURNEE DATASET'!B:B,A15,'RETURNEE DATASET'!AD:AD)</f>
        <v>1812</v>
      </c>
      <c r="E15" s="2">
        <f>SUMIF('RETURNEE DATASET'!B:B,A15,'RETURNEE DATASET'!AE:AE)</f>
        <v>0</v>
      </c>
      <c r="F15" s="2">
        <f>SUMIF('RETURNEE DATASET'!B:B,A15,'RETURNEE DATASET'!AF:AF)</f>
        <v>0</v>
      </c>
      <c r="G15" s="2">
        <f>SUMIF('RETURNEE DATASET'!B:B,A15,'RETURNEE DATASET'!AG:AG)</f>
        <v>0</v>
      </c>
      <c r="H15" s="2">
        <f>SUMIF('RETURNEE DATASET'!B:B,A15,'RETURNEE DATASET'!AH:AH)</f>
        <v>0</v>
      </c>
      <c r="I15" s="2">
        <f>SUMIF('RETURNEE DATASET'!B:B,A15,'RETURNEE DATASET'!AI:AI)</f>
        <v>140</v>
      </c>
      <c r="J15" s="2">
        <f>SUMIF('RETURNEE DATASET'!B:B,A15,'RETURNEE DATASET'!AJ:AJ)</f>
        <v>0</v>
      </c>
      <c r="K15" s="2">
        <f>SUMIF('RETURNEE DATASET'!B:B,A15,'RETURNEE DATASET'!AK:AK)</f>
        <v>6786</v>
      </c>
      <c r="L15" s="2">
        <f>SUMIF('RETURNEE DATASET'!B:B,A15,'RETURNEE DATASET'!AL:AL)</f>
        <v>92</v>
      </c>
      <c r="M15" s="2">
        <f t="shared" ref="M15:M19" si="2">SUM(B15:L15)</f>
        <v>33688</v>
      </c>
    </row>
    <row r="16" spans="1:18" x14ac:dyDescent="0.25">
      <c r="A16" s="1" t="s">
        <v>14</v>
      </c>
      <c r="B16" s="2">
        <f>SUMIF('RETURNEE DATASET'!B:B,A16,'RETURNEE DATASET'!AB:AB)</f>
        <v>0</v>
      </c>
      <c r="C16" s="2">
        <f>SUMIF('RETURNEE DATASET'!B:B,A16,'RETURNEE DATASET'!AC:AC)</f>
        <v>4837</v>
      </c>
      <c r="D16" s="2">
        <f>SUMIF('RETURNEE DATASET'!B:B,A16,'RETURNEE DATASET'!AD:AD)</f>
        <v>0</v>
      </c>
      <c r="E16" s="2">
        <f>SUMIF('RETURNEE DATASET'!B:B,A16,'RETURNEE DATASET'!AE:AE)</f>
        <v>0</v>
      </c>
      <c r="F16" s="2">
        <f>SUMIF('RETURNEE DATASET'!B:B,A16,'RETURNEE DATASET'!AF:AF)</f>
        <v>0</v>
      </c>
      <c r="G16" s="2">
        <f>SUMIF('RETURNEE DATASET'!B:B,A16,'RETURNEE DATASET'!AG:AG)</f>
        <v>0</v>
      </c>
      <c r="H16" s="2">
        <f>SUMIF('RETURNEE DATASET'!B:B,A16,'RETURNEE DATASET'!AH:AH)</f>
        <v>0</v>
      </c>
      <c r="I16" s="2">
        <f>SUMIF('RETURNEE DATASET'!B:B,A16,'RETURNEE DATASET'!AI:AI)</f>
        <v>0</v>
      </c>
      <c r="J16" s="2">
        <f>SUMIF('RETURNEE DATASET'!B:B,A16,'RETURNEE DATASET'!AJ:AJ)</f>
        <v>0</v>
      </c>
      <c r="K16" s="2">
        <f>SUMIF('RETURNEE DATASET'!B:B,A16,'RETURNEE DATASET'!AK:AK)</f>
        <v>0</v>
      </c>
      <c r="L16" s="2">
        <f>SUMIF('RETURNEE DATASET'!B:B,A16,'RETURNEE DATASET'!AL:AL)</f>
        <v>0</v>
      </c>
      <c r="M16" s="2">
        <f t="shared" si="2"/>
        <v>4837</v>
      </c>
    </row>
    <row r="17" spans="1:23" x14ac:dyDescent="0.25">
      <c r="A17" s="1" t="s">
        <v>16</v>
      </c>
      <c r="B17" s="2">
        <f>SUMIF('RETURNEE DATASET'!B:B,A17,'RETURNEE DATASET'!AB:AB)</f>
        <v>0</v>
      </c>
      <c r="C17" s="2">
        <f>SUMIF('RETURNEE DATASET'!B:B,A17,'RETURNEE DATASET'!AC:AC)</f>
        <v>496</v>
      </c>
      <c r="D17" s="2">
        <f>SUMIF('RETURNEE DATASET'!B:B,A17,'RETURNEE DATASET'!AD:AD)</f>
        <v>78</v>
      </c>
      <c r="E17" s="2">
        <f>SUMIF('RETURNEE DATASET'!B:B,A17,'RETURNEE DATASET'!AE:AE)</f>
        <v>0</v>
      </c>
      <c r="F17" s="2">
        <f>SUMIF('RETURNEE DATASET'!B:B,A17,'RETURNEE DATASET'!AF:AF)</f>
        <v>0</v>
      </c>
      <c r="G17" s="2">
        <f>SUMIF('RETURNEE DATASET'!B:B,A17,'RETURNEE DATASET'!AG:AG)</f>
        <v>0</v>
      </c>
      <c r="H17" s="2">
        <f>SUMIF('RETURNEE DATASET'!B:B,A17,'RETURNEE DATASET'!AH:AH)</f>
        <v>0</v>
      </c>
      <c r="I17" s="2">
        <f>SUMIF('RETURNEE DATASET'!B:B,A17,'RETURNEE DATASET'!AI:AI)</f>
        <v>0</v>
      </c>
      <c r="J17" s="2">
        <f>SUMIF('RETURNEE DATASET'!B:B,A17,'RETURNEE DATASET'!AJ:AJ)</f>
        <v>0</v>
      </c>
      <c r="K17" s="2">
        <f>SUMIF('RETURNEE DATASET'!B:B,A17,'RETURNEE DATASET'!AK:AK)</f>
        <v>0</v>
      </c>
      <c r="L17" s="2">
        <f>SUMIF('RETURNEE DATASET'!B:B,A17,'RETURNEE DATASET'!AL:AL)</f>
        <v>0</v>
      </c>
      <c r="M17" s="2">
        <f t="shared" si="2"/>
        <v>574</v>
      </c>
    </row>
    <row r="18" spans="1:23" x14ac:dyDescent="0.25">
      <c r="A18" s="1" t="s">
        <v>20</v>
      </c>
      <c r="B18" s="2">
        <f>SUMIF('RETURNEE DATASET'!B:B,A18,'RETURNEE DATASET'!AB:AB)</f>
        <v>0</v>
      </c>
      <c r="C18" s="2">
        <f>SUMIF('RETURNEE DATASET'!B:B,A18,'RETURNEE DATASET'!AC:AC)</f>
        <v>33201</v>
      </c>
      <c r="D18" s="2">
        <f>SUMIF('RETURNEE DATASET'!B:B,A18,'RETURNEE DATASET'!AD:AD)</f>
        <v>655</v>
      </c>
      <c r="E18" s="2">
        <f>SUMIF('RETURNEE DATASET'!B:B,A18,'RETURNEE DATASET'!AE:AE)</f>
        <v>0</v>
      </c>
      <c r="F18" s="2">
        <f>SUMIF('RETURNEE DATASET'!B:B,A18,'RETURNEE DATASET'!AF:AF)</f>
        <v>31</v>
      </c>
      <c r="G18" s="2">
        <f>SUMIF('RETURNEE DATASET'!B:B,A18,'RETURNEE DATASET'!AG:AG)</f>
        <v>40</v>
      </c>
      <c r="H18" s="2">
        <f>SUMIF('RETURNEE DATASET'!B:B,A18,'RETURNEE DATASET'!AH:AH)</f>
        <v>0</v>
      </c>
      <c r="I18" s="2">
        <f>SUMIF('RETURNEE DATASET'!B:B,A18,'RETURNEE DATASET'!AI:AI)</f>
        <v>50</v>
      </c>
      <c r="J18" s="2">
        <f>SUMIF('RETURNEE DATASET'!B:B,A18,'RETURNEE DATASET'!AJ:AJ)</f>
        <v>0</v>
      </c>
      <c r="K18" s="2">
        <f>SUMIF('RETURNEE DATASET'!B:B,A18,'RETURNEE DATASET'!AK:AK)</f>
        <v>55</v>
      </c>
      <c r="L18" s="2">
        <f>SUMIF('RETURNEE DATASET'!B:B,A18,'RETURNEE DATASET'!AL:AL)</f>
        <v>0</v>
      </c>
      <c r="M18" s="2">
        <f t="shared" si="2"/>
        <v>34032</v>
      </c>
    </row>
    <row r="19" spans="1:23" s="15" customFormat="1" x14ac:dyDescent="0.25">
      <c r="A19" s="18" t="s">
        <v>22</v>
      </c>
      <c r="B19" s="2">
        <f>SUMIF('RETURNEE DATASET'!B:B,A19,'RETURNEE DATASET'!AB:AB)</f>
        <v>104</v>
      </c>
      <c r="C19" s="2">
        <f>SUMIF('RETURNEE DATASET'!B:B,A19,'RETURNEE DATASET'!AC:AC)</f>
        <v>56644</v>
      </c>
      <c r="D19" s="2">
        <f>SUMIF('RETURNEE DATASET'!B:B,A19,'RETURNEE DATASET'!AD:AD)</f>
        <v>640</v>
      </c>
      <c r="E19" s="2">
        <f>SUMIF('RETURNEE DATASET'!B:B,A19,'RETURNEE DATASET'!AE:AE)</f>
        <v>0</v>
      </c>
      <c r="F19" s="2">
        <f>SUMIF('RETURNEE DATASET'!B:B,A19,'RETURNEE DATASET'!AF:AF)</f>
        <v>1074</v>
      </c>
      <c r="G19" s="2">
        <f>SUMIF('RETURNEE DATASET'!B:B,A19,'RETURNEE DATASET'!AG:AG)</f>
        <v>30</v>
      </c>
      <c r="H19" s="2">
        <f>SUMIF('RETURNEE DATASET'!B:B,A19,'RETURNEE DATASET'!AH:AH)</f>
        <v>7</v>
      </c>
      <c r="I19" s="2">
        <f>SUMIF('RETURNEE DATASET'!B:B,A19,'RETURNEE DATASET'!AI:AI)</f>
        <v>3944</v>
      </c>
      <c r="J19" s="2">
        <f>SUMIF('RETURNEE DATASET'!B:B,A19,'RETURNEE DATASET'!AJ:AJ)</f>
        <v>0</v>
      </c>
      <c r="K19" s="2">
        <f>SUMIF('RETURNEE DATASET'!B:B,A19,'RETURNEE DATASET'!AK:AK)</f>
        <v>0</v>
      </c>
      <c r="L19" s="2">
        <f>SUMIF('RETURNEE DATASET'!B:B,A19,'RETURNEE DATASET'!AL:AL)</f>
        <v>59</v>
      </c>
      <c r="M19" s="2">
        <f t="shared" si="2"/>
        <v>62502</v>
      </c>
    </row>
    <row r="20" spans="1:23" x14ac:dyDescent="0.25">
      <c r="A20" s="4" t="s">
        <v>48</v>
      </c>
      <c r="B20" s="5">
        <f>SUM(B13:B19)</f>
        <v>104</v>
      </c>
      <c r="C20" s="5">
        <f>SUM(C13:C19)</f>
        <v>240685</v>
      </c>
      <c r="D20" s="5">
        <f t="shared" ref="D20:M20" si="3">SUM(D13:D19)</f>
        <v>3185</v>
      </c>
      <c r="E20" s="5">
        <f t="shared" si="3"/>
        <v>0</v>
      </c>
      <c r="F20" s="5">
        <f t="shared" si="3"/>
        <v>1105</v>
      </c>
      <c r="G20" s="5">
        <f t="shared" si="3"/>
        <v>70</v>
      </c>
      <c r="H20" s="5">
        <f t="shared" si="3"/>
        <v>7</v>
      </c>
      <c r="I20" s="5">
        <f t="shared" si="3"/>
        <v>5786</v>
      </c>
      <c r="J20" s="5">
        <f t="shared" si="3"/>
        <v>0</v>
      </c>
      <c r="K20" s="5">
        <f t="shared" si="3"/>
        <v>6841</v>
      </c>
      <c r="L20" s="5">
        <f t="shared" si="3"/>
        <v>151</v>
      </c>
      <c r="M20" s="5">
        <f t="shared" si="3"/>
        <v>257934</v>
      </c>
    </row>
    <row r="21" spans="1:23" ht="18" customHeight="1" x14ac:dyDescent="0.25">
      <c r="O21" s="19"/>
      <c r="P21" s="19"/>
      <c r="Q21" s="19"/>
      <c r="R21" s="19"/>
      <c r="S21" s="19"/>
      <c r="T21" s="19"/>
    </row>
    <row r="22" spans="1:23" ht="15" customHeight="1" x14ac:dyDescent="0.25">
      <c r="A22" s="26" t="s">
        <v>0</v>
      </c>
      <c r="B22" s="51" t="s">
        <v>49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19"/>
      <c r="P22" s="19"/>
      <c r="Q22" s="19"/>
      <c r="R22" s="19"/>
      <c r="S22" s="19"/>
      <c r="T22" s="19"/>
    </row>
    <row r="23" spans="1:23" ht="25.5" x14ac:dyDescent="0.25">
      <c r="A23" s="27" t="s">
        <v>46</v>
      </c>
      <c r="B23" s="29" t="s">
        <v>8</v>
      </c>
      <c r="C23" s="29" t="s">
        <v>9</v>
      </c>
      <c r="D23" s="29" t="s">
        <v>10</v>
      </c>
      <c r="E23" s="47" t="s">
        <v>11</v>
      </c>
      <c r="F23" s="29" t="s">
        <v>12</v>
      </c>
      <c r="G23" s="29" t="s">
        <v>13</v>
      </c>
      <c r="H23" s="29" t="s">
        <v>14</v>
      </c>
      <c r="I23" s="29" t="s">
        <v>15</v>
      </c>
      <c r="J23" s="29" t="s">
        <v>16</v>
      </c>
      <c r="K23" s="47" t="s">
        <v>17</v>
      </c>
      <c r="L23" s="29" t="s">
        <v>19</v>
      </c>
      <c r="M23" s="29" t="s">
        <v>20</v>
      </c>
      <c r="N23" s="29" t="s">
        <v>22</v>
      </c>
      <c r="O23" s="29" t="s">
        <v>23</v>
      </c>
      <c r="P23" s="47" t="s">
        <v>25</v>
      </c>
      <c r="Q23" s="29" t="s">
        <v>47</v>
      </c>
      <c r="R23" s="19"/>
      <c r="S23" s="19"/>
      <c r="T23" s="19"/>
      <c r="U23" s="19"/>
      <c r="V23" s="19"/>
      <c r="W23" s="19"/>
    </row>
    <row r="24" spans="1:23" x14ac:dyDescent="0.25">
      <c r="A24" s="1" t="s">
        <v>8</v>
      </c>
      <c r="B24" s="28">
        <f>SUMIF('RETURNEE DATASET'!B:B,A24,'RETURNEE DATASET'!J:J)</f>
        <v>76389</v>
      </c>
      <c r="C24" s="28">
        <f>SUMIF('RETURNEE DATASET'!B:B,A24,'RETURNEE DATASET'!K:K)</f>
        <v>474</v>
      </c>
      <c r="D24" s="28">
        <f>SUMIF('RETURNEE DATASET'!B:B,A24,'RETURNEE DATASET'!L:L)</f>
        <v>13817</v>
      </c>
      <c r="E24" s="28">
        <f>SUMIF('RETURNEE DATASET'!B:B,A24,'RETURNEE DATASET'!M:M)</f>
        <v>0</v>
      </c>
      <c r="F24" s="28">
        <f>SUMIF('RETURNEE DATASET'!B:B,A24,'RETURNEE DATASET'!N:N)</f>
        <v>0</v>
      </c>
      <c r="G24" s="28">
        <f>SUMIF('RETURNEE DATASET'!B:B,A24,'RETURNEE DATASET'!O:O)</f>
        <v>0</v>
      </c>
      <c r="H24" s="28">
        <f>SUMIF('RETURNEE DATASET'!B:B,A24,'RETURNEE DATASET'!P:P)</f>
        <v>12597</v>
      </c>
      <c r="I24" s="28">
        <f>SUMIF('RETURNEE DATASET'!B:B,A24,'RETURNEE DATASET'!Q:Q)</f>
        <v>0</v>
      </c>
      <c r="J24" s="28">
        <f>SUMIF('RETURNEE DATASET'!B:B,A24,'RETURNEE DATASET'!R:R)</f>
        <v>8068</v>
      </c>
      <c r="K24" s="28">
        <f>SUMIF('RETURNEE DATASET'!B:B,A24,'RETURNEE DATASET'!S:S)</f>
        <v>0</v>
      </c>
      <c r="L24" s="28">
        <f>SUMIF('RETURNEE DATASET'!B:B,A24,'RETURNEE DATASET'!U:U)</f>
        <v>0</v>
      </c>
      <c r="M24" s="28">
        <f>SUMIF('RETURNEE DATASET'!B:B,A24,'RETURNEE DATASET'!V:V)</f>
        <v>0</v>
      </c>
      <c r="N24" s="28">
        <f>SUMIF('RETURNEE DATASET'!B:B,A24,'RETURNEE DATASET'!X:X)</f>
        <v>283</v>
      </c>
      <c r="O24" s="28">
        <f>SUMIF('RETURNEE DATASET'!B:B,A24,'RETURNEE DATASET'!Y:Y)</f>
        <v>5495</v>
      </c>
      <c r="P24" s="28">
        <f>SUMIF('RETURNEE DATASET'!B:B,A24,'RETURNEE DATASET'!AA:AA)</f>
        <v>0</v>
      </c>
      <c r="Q24" s="28">
        <f t="shared" ref="Q24:Q30" si="4">SUM(B24:P24)</f>
        <v>117123</v>
      </c>
    </row>
    <row r="25" spans="1:23" s="19" customFormat="1" x14ac:dyDescent="0.25">
      <c r="A25" s="40" t="s">
        <v>10</v>
      </c>
      <c r="B25" s="28">
        <f>SUMIF('RETURNEE DATASET'!B:B,A25,'RETURNEE DATASET'!J:J)</f>
        <v>0</v>
      </c>
      <c r="C25" s="28">
        <f>SUMIF('RETURNEE DATASET'!B:B,A25,'RETURNEE DATASET'!K:K)</f>
        <v>192</v>
      </c>
      <c r="D25" s="28">
        <f>SUMIF('RETURNEE DATASET'!B:B,A25,'RETURNEE DATASET'!L:L)</f>
        <v>4482</v>
      </c>
      <c r="E25" s="28">
        <f>SUMIF('RETURNEE DATASET'!B:B,A25,'RETURNEE DATASET'!M:M)</f>
        <v>0</v>
      </c>
      <c r="F25" s="28">
        <f>SUMIF('RETURNEE DATASET'!B:B,A25,'RETURNEE DATASET'!N:N)</f>
        <v>0</v>
      </c>
      <c r="G25" s="28">
        <f>SUMIF('RETURNEE DATASET'!B:B,A25,'RETURNEE DATASET'!O:O)</f>
        <v>0</v>
      </c>
      <c r="H25" s="28">
        <f>SUMIF('RETURNEE DATASET'!B:B,A25,'RETURNEE DATASET'!P:P)</f>
        <v>400</v>
      </c>
      <c r="I25" s="28">
        <f>SUMIF('RETURNEE DATASET'!B:B,A25,'RETURNEE DATASET'!Q:Q)</f>
        <v>8</v>
      </c>
      <c r="J25" s="28">
        <f>SUMIF('RETURNEE DATASET'!B:B,A25,'RETURNEE DATASET'!R:R)</f>
        <v>0</v>
      </c>
      <c r="K25" s="28">
        <f>SUMIF('RETURNEE DATASET'!B:B,A25,'RETURNEE DATASET'!S:S)</f>
        <v>20</v>
      </c>
      <c r="L25" s="28">
        <f>SUMIF('RETURNEE DATASET'!B:B,A25,'RETURNEE DATASET'!U:U)</f>
        <v>0</v>
      </c>
      <c r="M25" s="28">
        <f>SUMIF('RETURNEE DATASET'!B:B,A25,'RETURNEE DATASET'!V:V)</f>
        <v>0</v>
      </c>
      <c r="N25" s="28">
        <f>SUMIF('RETURNEE DATASET'!B:B,A25,'RETURNEE DATASET'!X:X)</f>
        <v>0</v>
      </c>
      <c r="O25" s="28">
        <f>SUMIF('RETURNEE DATASET'!B:B,A25,'RETURNEE DATASET'!Y:Y)</f>
        <v>76</v>
      </c>
      <c r="P25" s="28">
        <f>SUMIF('RETURNEE DATASET'!B:B,A25,'RETURNEE DATASET'!AA:AA)</f>
        <v>0</v>
      </c>
      <c r="Q25" s="28">
        <f t="shared" si="4"/>
        <v>5178</v>
      </c>
    </row>
    <row r="26" spans="1:23" x14ac:dyDescent="0.25">
      <c r="A26" s="1" t="s">
        <v>13</v>
      </c>
      <c r="B26" s="2">
        <f>SUMIF('RETURNEE DATASET'!B:B,A26,'RETURNEE DATASET'!J:J)</f>
        <v>55</v>
      </c>
      <c r="C26" s="2">
        <f>SUMIF('RETURNEE DATASET'!B:B,A26,'RETURNEE DATASET'!K:K)</f>
        <v>0</v>
      </c>
      <c r="D26" s="2">
        <f>SUMIF('RETURNEE DATASET'!B:B,A26,'RETURNEE DATASET'!L:L)</f>
        <v>79</v>
      </c>
      <c r="E26" s="28">
        <f>SUMIF('RETURNEE DATASET'!B:B,A26,'RETURNEE DATASET'!M:M)</f>
        <v>0</v>
      </c>
      <c r="F26" s="2">
        <f>SUMIF('RETURNEE DATASET'!B:B,A26,'RETURNEE DATASET'!N:N)</f>
        <v>0</v>
      </c>
      <c r="G26" s="2">
        <f>SUMIF('RETURNEE DATASET'!B:B,A26,'RETURNEE DATASET'!O:O)</f>
        <v>27806</v>
      </c>
      <c r="H26" s="2">
        <f>SUMIF('RETURNEE DATASET'!B:B,A26,'RETURNEE DATASET'!P:P)</f>
        <v>106</v>
      </c>
      <c r="I26" s="2">
        <f>SUMIF('RETURNEE DATASET'!B:B,A26,'RETURNEE DATASET'!Q:Q)</f>
        <v>10</v>
      </c>
      <c r="J26" s="2">
        <f>SUMIF('RETURNEE DATASET'!B:B,A26,'RETURNEE DATASET'!R:R)</f>
        <v>3882</v>
      </c>
      <c r="K26" s="28">
        <f>SUMIF('RETURNEE DATASET'!B:B,A26,'RETURNEE DATASET'!S:S)</f>
        <v>0</v>
      </c>
      <c r="L26" s="2">
        <f>SUMIF('RETURNEE DATASET'!B:B,A26,'RETURNEE DATASET'!U:U)</f>
        <v>0</v>
      </c>
      <c r="M26" s="2">
        <f>SUMIF('RETURNEE DATASET'!B:B,A26,'RETURNEE DATASET'!V:V)</f>
        <v>0</v>
      </c>
      <c r="N26" s="2">
        <f>SUMIF('RETURNEE DATASET'!B:B,A26,'RETURNEE DATASET'!X:X)</f>
        <v>0</v>
      </c>
      <c r="O26" s="2">
        <f>SUMIF('RETURNEE DATASET'!B:B,A26,'RETURNEE DATASET'!Y:Y)</f>
        <v>1750</v>
      </c>
      <c r="P26" s="28">
        <f>SUMIF('RETURNEE DATASET'!B:B,A26,'RETURNEE DATASET'!AA:AA)</f>
        <v>0</v>
      </c>
      <c r="Q26" s="2">
        <f t="shared" si="4"/>
        <v>33688</v>
      </c>
    </row>
    <row r="27" spans="1:23" x14ac:dyDescent="0.25">
      <c r="A27" s="1" t="s">
        <v>14</v>
      </c>
      <c r="B27" s="2">
        <f>SUMIF('RETURNEE DATASET'!B:B,A27,'RETURNEE DATASET'!J:J)</f>
        <v>0</v>
      </c>
      <c r="C27" s="2">
        <f>SUMIF('RETURNEE DATASET'!B:B,A27,'RETURNEE DATASET'!K:K)</f>
        <v>0</v>
      </c>
      <c r="D27" s="2">
        <f>SUMIF('RETURNEE DATASET'!B:B,A27,'RETURNEE DATASET'!L:L)</f>
        <v>0</v>
      </c>
      <c r="E27" s="28">
        <f>SUMIF('RETURNEE DATASET'!B:B,A27,'RETURNEE DATASET'!M:M)</f>
        <v>0</v>
      </c>
      <c r="F27" s="2">
        <f>SUMIF('RETURNEE DATASET'!B:B,A27,'RETURNEE DATASET'!N:N)</f>
        <v>0</v>
      </c>
      <c r="G27" s="2">
        <f>SUMIF('RETURNEE DATASET'!B:B,A27,'RETURNEE DATASET'!O:O)</f>
        <v>0</v>
      </c>
      <c r="H27" s="2">
        <f>SUMIF('RETURNEE DATASET'!B:B,A27,'RETURNEE DATASET'!P:P)</f>
        <v>4837</v>
      </c>
      <c r="I27" s="2">
        <f>SUMIF('RETURNEE DATASET'!B:B,A27,'RETURNEE DATASET'!Q:Q)</f>
        <v>0</v>
      </c>
      <c r="J27" s="2">
        <f>SUMIF('RETURNEE DATASET'!B:B,A27,'RETURNEE DATASET'!R:R)</f>
        <v>0</v>
      </c>
      <c r="K27" s="28">
        <f>SUMIF('RETURNEE DATASET'!B:B,A27,'RETURNEE DATASET'!S:S)</f>
        <v>0</v>
      </c>
      <c r="L27" s="2">
        <f>SUMIF('RETURNEE DATASET'!B:B,A27,'RETURNEE DATASET'!U:U)</f>
        <v>0</v>
      </c>
      <c r="M27" s="2">
        <f>SUMIF('RETURNEE DATASET'!B:B,A27,'RETURNEE DATASET'!V:V)</f>
        <v>0</v>
      </c>
      <c r="N27" s="2">
        <f>SUMIF('RETURNEE DATASET'!B:B,A27,'RETURNEE DATASET'!X:X)</f>
        <v>0</v>
      </c>
      <c r="O27" s="2">
        <f>SUMIF('RETURNEE DATASET'!B:B,A27,'RETURNEE DATASET'!Y:Y)</f>
        <v>0</v>
      </c>
      <c r="P27" s="28">
        <f>SUMIF('RETURNEE DATASET'!B:B,A27,'RETURNEE DATASET'!AA:AA)</f>
        <v>0</v>
      </c>
      <c r="Q27" s="2">
        <f t="shared" si="4"/>
        <v>4837</v>
      </c>
    </row>
    <row r="28" spans="1:23" x14ac:dyDescent="0.25">
      <c r="A28" s="1" t="s">
        <v>16</v>
      </c>
      <c r="B28" s="2">
        <f>SUMIF('RETURNEE DATASET'!B:B,A28,'RETURNEE DATASET'!J:J)</f>
        <v>0</v>
      </c>
      <c r="C28" s="2">
        <f>SUMIF('RETURNEE DATASET'!B:B,A28,'RETURNEE DATASET'!K:K)</f>
        <v>0</v>
      </c>
      <c r="D28" s="2">
        <f>SUMIF('RETURNEE DATASET'!B:B,A28,'RETURNEE DATASET'!L:L)</f>
        <v>0</v>
      </c>
      <c r="E28" s="28">
        <f>SUMIF('RETURNEE DATASET'!B:B,A28,'RETURNEE DATASET'!M:M)</f>
        <v>0</v>
      </c>
      <c r="F28" s="2">
        <f>SUMIF('RETURNEE DATASET'!B:B,A28,'RETURNEE DATASET'!N:N)</f>
        <v>0</v>
      </c>
      <c r="G28" s="2">
        <f>SUMIF('RETURNEE DATASET'!B:B,A28,'RETURNEE DATASET'!O:O)</f>
        <v>0</v>
      </c>
      <c r="H28" s="2">
        <f>SUMIF('RETURNEE DATASET'!B:B,A28,'RETURNEE DATASET'!P:P)</f>
        <v>0</v>
      </c>
      <c r="I28" s="2">
        <f>SUMIF('RETURNEE DATASET'!B:B,A28,'RETURNEE DATASET'!Q:Q)</f>
        <v>0</v>
      </c>
      <c r="J28" s="2">
        <f>SUMIF('RETURNEE DATASET'!B:B,A28,'RETURNEE DATASET'!R:R)</f>
        <v>574</v>
      </c>
      <c r="K28" s="28">
        <f>SUMIF('RETURNEE DATASET'!B:B,A28,'RETURNEE DATASET'!S:S)</f>
        <v>0</v>
      </c>
      <c r="L28" s="2">
        <f>SUMIF('RETURNEE DATASET'!B:B,A28,'RETURNEE DATASET'!U:U)</f>
        <v>0</v>
      </c>
      <c r="M28" s="2">
        <f>SUMIF('RETURNEE DATASET'!B:B,A28,'RETURNEE DATASET'!V:V)</f>
        <v>0</v>
      </c>
      <c r="N28" s="2">
        <f>SUMIF('RETURNEE DATASET'!B:B,A28,'RETURNEE DATASET'!X:X)</f>
        <v>0</v>
      </c>
      <c r="O28" s="2">
        <f>SUMIF('RETURNEE DATASET'!B:B,A28,'RETURNEE DATASET'!Y:Y)</f>
        <v>0</v>
      </c>
      <c r="P28" s="28">
        <f>SUMIF('RETURNEE DATASET'!B:B,A28,'RETURNEE DATASET'!AA:AA)</f>
        <v>0</v>
      </c>
      <c r="Q28" s="2">
        <f t="shared" si="4"/>
        <v>574</v>
      </c>
    </row>
    <row r="29" spans="1:23" x14ac:dyDescent="0.25">
      <c r="A29" s="1" t="s">
        <v>20</v>
      </c>
      <c r="B29" s="2">
        <f>SUMIF('RETURNEE DATASET'!B:B,A29,'RETURNEE DATASET'!J:J)</f>
        <v>0</v>
      </c>
      <c r="C29" s="2">
        <f>SUMIF('RETURNEE DATASET'!B:B,A29,'RETURNEE DATASET'!K:K)</f>
        <v>0</v>
      </c>
      <c r="D29" s="2">
        <f>SUMIF('RETURNEE DATASET'!B:B,A29,'RETURNEE DATASET'!L:L)</f>
        <v>0</v>
      </c>
      <c r="E29" s="28">
        <f>SUMIF('RETURNEE DATASET'!B:B,A29,'RETURNEE DATASET'!M:M)</f>
        <v>0</v>
      </c>
      <c r="F29" s="2">
        <f>SUMIF('RETURNEE DATASET'!B:B,A29,'RETURNEE DATASET'!N:N)</f>
        <v>14628</v>
      </c>
      <c r="G29" s="2">
        <f>SUMIF('RETURNEE DATASET'!B:B,A29,'RETURNEE DATASET'!O:O)</f>
        <v>0</v>
      </c>
      <c r="H29" s="2">
        <f>SUMIF('RETURNEE DATASET'!B:B,A29,'RETURNEE DATASET'!P:P)</f>
        <v>5275</v>
      </c>
      <c r="I29" s="2">
        <f>SUMIF('RETURNEE DATASET'!B:B,A29,'RETURNEE DATASET'!Q:Q)</f>
        <v>0</v>
      </c>
      <c r="J29" s="2">
        <f>SUMIF('RETURNEE DATASET'!B:B,A29,'RETURNEE DATASET'!R:R)</f>
        <v>381</v>
      </c>
      <c r="K29" s="28">
        <f>SUMIF('RETURNEE DATASET'!B:B,A29,'RETURNEE DATASET'!S:S)</f>
        <v>0</v>
      </c>
      <c r="L29" s="2">
        <f>SUMIF('RETURNEE DATASET'!B:B,A29,'RETURNEE DATASET'!U:U)</f>
        <v>0</v>
      </c>
      <c r="M29" s="2">
        <f>SUMIF('RETURNEE DATASET'!B:B,A29,'RETURNEE DATASET'!V:V)</f>
        <v>13738</v>
      </c>
      <c r="N29" s="2">
        <f>SUMIF('RETURNEE DATASET'!B:B,A29,'RETURNEE DATASET'!X:X)</f>
        <v>0</v>
      </c>
      <c r="O29" s="2">
        <f>SUMIF('RETURNEE DATASET'!B:B,A29,'RETURNEE DATASET'!Y:Y)</f>
        <v>10</v>
      </c>
      <c r="P29" s="28">
        <f>SUMIF('RETURNEE DATASET'!B:B,A29,'RETURNEE DATASET'!AA:AA)</f>
        <v>0</v>
      </c>
      <c r="Q29" s="2">
        <f t="shared" si="4"/>
        <v>34032</v>
      </c>
    </row>
    <row r="30" spans="1:23" s="15" customFormat="1" x14ac:dyDescent="0.25">
      <c r="A30" s="16" t="s">
        <v>22</v>
      </c>
      <c r="B30" s="2">
        <f>SUMIF('RETURNEE DATASET'!B:B,A30,'RETURNEE DATASET'!J:J)</f>
        <v>0</v>
      </c>
      <c r="C30" s="2">
        <f>SUMIF('RETURNEE DATASET'!B:B,A30,'RETURNEE DATASET'!K:K)</f>
        <v>0</v>
      </c>
      <c r="D30" s="2">
        <f>SUMIF('RETURNEE DATASET'!B:B,A30,'RETURNEE DATASET'!L:L)</f>
        <v>3448</v>
      </c>
      <c r="E30" s="28">
        <f>SUMIF('RETURNEE DATASET'!B:B,A30,'RETURNEE DATASET'!M:M)</f>
        <v>89</v>
      </c>
      <c r="F30" s="2">
        <f>SUMIF('RETURNEE DATASET'!B:B,A30,'RETURNEE DATASET'!N:N)</f>
        <v>389</v>
      </c>
      <c r="G30" s="2">
        <f>SUMIF('RETURNEE DATASET'!B:B,A30,'RETURNEE DATASET'!O:O)</f>
        <v>2</v>
      </c>
      <c r="H30" s="2">
        <f>SUMIF('RETURNEE DATASET'!B:B,A30,'RETURNEE DATASET'!P:P)</f>
        <v>10524</v>
      </c>
      <c r="I30" s="2">
        <f>SUMIF('RETURNEE DATASET'!B:B,A30,'RETURNEE DATASET'!Q:Q)</f>
        <v>247</v>
      </c>
      <c r="J30" s="2">
        <f>SUMIF('RETURNEE DATASET'!B:B,A30,'RETURNEE DATASET'!R:R)</f>
        <v>20660</v>
      </c>
      <c r="K30" s="28">
        <f>SUMIF('RETURNEE DATASET'!B:B,A30,'RETURNEE DATASET'!S:S)</f>
        <v>30</v>
      </c>
      <c r="L30" s="2">
        <f>SUMIF('RETURNEE DATASET'!B:B,A30,'RETURNEE DATASET'!U:U)</f>
        <v>142</v>
      </c>
      <c r="M30" s="2">
        <f>SUMIF('RETURNEE DATASET'!B:B,A30,'RETURNEE DATASET'!V:V)</f>
        <v>16</v>
      </c>
      <c r="N30" s="2">
        <f>SUMIF('RETURNEE DATASET'!B:B,A30,'RETURNEE DATASET'!X:X)</f>
        <v>24083</v>
      </c>
      <c r="O30" s="2">
        <f>SUMIF('RETURNEE DATASET'!B:B,A30,'RETURNEE DATASET'!Y:Y)</f>
        <v>2870</v>
      </c>
      <c r="P30" s="28">
        <f>SUMIF('RETURNEE DATASET'!B:B,A30,'RETURNEE DATASET'!AA:AA)</f>
        <v>2</v>
      </c>
      <c r="Q30" s="2">
        <f t="shared" si="4"/>
        <v>62502</v>
      </c>
    </row>
    <row r="31" spans="1:23" x14ac:dyDescent="0.25">
      <c r="A31" s="6" t="s">
        <v>48</v>
      </c>
      <c r="B31" s="7">
        <f>SUM(B24:B30)</f>
        <v>76444</v>
      </c>
      <c r="C31" s="7">
        <f t="shared" ref="C31:P31" si="5">SUM(C24:C30)</f>
        <v>666</v>
      </c>
      <c r="D31" s="7">
        <f t="shared" si="5"/>
        <v>21826</v>
      </c>
      <c r="E31" s="7">
        <f t="shared" si="5"/>
        <v>89</v>
      </c>
      <c r="F31" s="7">
        <f t="shared" si="5"/>
        <v>15017</v>
      </c>
      <c r="G31" s="7">
        <f t="shared" si="5"/>
        <v>27808</v>
      </c>
      <c r="H31" s="7">
        <f t="shared" si="5"/>
        <v>33739</v>
      </c>
      <c r="I31" s="7">
        <f t="shared" si="5"/>
        <v>265</v>
      </c>
      <c r="J31" s="7">
        <f t="shared" si="5"/>
        <v>33565</v>
      </c>
      <c r="K31" s="7">
        <f t="shared" si="5"/>
        <v>50</v>
      </c>
      <c r="L31" s="7">
        <f t="shared" si="5"/>
        <v>142</v>
      </c>
      <c r="M31" s="7">
        <f t="shared" si="5"/>
        <v>13754</v>
      </c>
      <c r="N31" s="7">
        <f t="shared" si="5"/>
        <v>24366</v>
      </c>
      <c r="O31" s="7">
        <f t="shared" si="5"/>
        <v>10201</v>
      </c>
      <c r="P31" s="7">
        <f t="shared" si="5"/>
        <v>2</v>
      </c>
      <c r="Q31" s="7">
        <f>SUM(Q24:Q30)</f>
        <v>257934</v>
      </c>
    </row>
    <row r="32" spans="1:23" ht="18" customHeight="1" x14ac:dyDescent="0.25"/>
    <row r="33" spans="1:9" ht="15" customHeight="1" x14ac:dyDescent="0.25">
      <c r="A33" s="26" t="s">
        <v>0</v>
      </c>
      <c r="B33" s="51" t="s">
        <v>3</v>
      </c>
      <c r="C33" s="51"/>
      <c r="D33" s="51"/>
      <c r="E33" s="51"/>
      <c r="F33" s="51"/>
      <c r="G33" s="51"/>
    </row>
    <row r="34" spans="1:9" ht="25.5" x14ac:dyDescent="0.25">
      <c r="A34" s="27" t="s">
        <v>46</v>
      </c>
      <c r="B34" s="29" t="s">
        <v>50</v>
      </c>
      <c r="C34" s="29" t="s">
        <v>51</v>
      </c>
      <c r="D34" s="29" t="s">
        <v>52</v>
      </c>
      <c r="E34" s="29" t="s">
        <v>53</v>
      </c>
      <c r="F34" s="29" t="s">
        <v>54</v>
      </c>
      <c r="G34" s="42" t="s">
        <v>73</v>
      </c>
      <c r="H34" s="43" t="s">
        <v>74</v>
      </c>
      <c r="I34" s="29" t="s">
        <v>47</v>
      </c>
    </row>
    <row r="35" spans="1:9" x14ac:dyDescent="0.25">
      <c r="A35" s="1" t="s">
        <v>8</v>
      </c>
      <c r="B35" s="28">
        <f>SUMIF('RETURNEE DATASET'!B:B,A35,'RETURNEE DATASET'!AM:AM)</f>
        <v>32329</v>
      </c>
      <c r="C35" s="28">
        <f>SUMIF('RETURNEE DATASET'!B:B,A35,'RETURNEE DATASET'!AN:AN)</f>
        <v>8451</v>
      </c>
      <c r="D35" s="28">
        <f>SUMIF('RETURNEE DATASET'!B:B,A35,'RETURNEE DATASET'!AO:AO)</f>
        <v>0</v>
      </c>
      <c r="E35" s="28">
        <f>SUMIF('RETURNEE DATASET'!B:B,A35,'RETURNEE DATASET'!AP:AP)</f>
        <v>20728</v>
      </c>
      <c r="F35" s="28">
        <f>SUMIF('RETURNEE DATASET'!B:B,A35,'RETURNEE DATASET'!AQ:AQ)</f>
        <v>36696</v>
      </c>
      <c r="G35" s="28">
        <f>SUMIF('RETURNEE DATASET'!B:B,A35,'RETURNEE DATASET'!AR:AR)</f>
        <v>18919</v>
      </c>
      <c r="H35" s="28">
        <f>SUMIF('RETURNEE DATASET'!B:B,A35,'RETURNEE DATASET'!AS:AS)</f>
        <v>0</v>
      </c>
      <c r="I35" s="28">
        <f t="shared" ref="I35:I41" si="6">SUM(B35:H35)</f>
        <v>117123</v>
      </c>
    </row>
    <row r="36" spans="1:9" s="19" customFormat="1" x14ac:dyDescent="0.25">
      <c r="A36" s="40" t="s">
        <v>10</v>
      </c>
      <c r="B36" s="28">
        <f>SUMIF('RETURNEE DATASET'!B:B,A36,'RETURNEE DATASET'!AM:AM)</f>
        <v>0</v>
      </c>
      <c r="C36" s="28">
        <f>SUMIF('RETURNEE DATASET'!B:B,A36,'RETURNEE DATASET'!AN:AN)</f>
        <v>0</v>
      </c>
      <c r="D36" s="28">
        <f>SUMIF('RETURNEE DATASET'!B:B,A36,'RETURNEE DATASET'!AO:AO)</f>
        <v>1740</v>
      </c>
      <c r="E36" s="28">
        <f>SUMIF('RETURNEE DATASET'!B:B,A36,'RETURNEE DATASET'!AP:AP)</f>
        <v>3438</v>
      </c>
      <c r="F36" s="28">
        <f>SUMIF('RETURNEE DATASET'!B:B,A36,'RETURNEE DATASET'!AQ:AQ)</f>
        <v>0</v>
      </c>
      <c r="G36" s="28">
        <f>SUMIF('RETURNEE DATASET'!B:B,A36,'RETURNEE DATASET'!AR:AR)</f>
        <v>0</v>
      </c>
      <c r="H36" s="28">
        <f>SUMIF('RETURNEE DATASET'!B:B,A36,'RETURNEE DATASET'!AS:AS)</f>
        <v>0</v>
      </c>
      <c r="I36" s="28">
        <f t="shared" si="6"/>
        <v>5178</v>
      </c>
    </row>
    <row r="37" spans="1:9" x14ac:dyDescent="0.25">
      <c r="A37" s="1" t="s">
        <v>13</v>
      </c>
      <c r="B37" s="2">
        <f>SUMIF('RETURNEE DATASET'!B:B,A37,'RETURNEE DATASET'!AM:AM)</f>
        <v>0</v>
      </c>
      <c r="C37" s="2">
        <f>SUMIF('RETURNEE DATASET'!B:B,A37,'RETURNEE DATASET'!AN:AN)</f>
        <v>21860</v>
      </c>
      <c r="D37" s="2">
        <f>SUMIF('RETURNEE DATASET'!B:B,A37,'RETURNEE DATASET'!AO:AO)</f>
        <v>1343</v>
      </c>
      <c r="E37" s="2">
        <f>SUMIF('RETURNEE DATASET'!B:B,A37,'RETURNEE DATASET'!AP:AP)</f>
        <v>10485</v>
      </c>
      <c r="F37" s="2">
        <f>SUMIF('RETURNEE DATASET'!B:B,A37,'RETURNEE DATASET'!AQ:AQ)</f>
        <v>0</v>
      </c>
      <c r="G37" s="28">
        <f>SUMIF('RETURNEE DATASET'!B:B,A37,'RETURNEE DATASET'!AR:AR)</f>
        <v>0</v>
      </c>
      <c r="H37" s="28">
        <f>SUMIF('RETURNEE DATASET'!B:B,A37,'RETURNEE DATASET'!AS:AS)</f>
        <v>0</v>
      </c>
      <c r="I37" s="28">
        <f t="shared" si="6"/>
        <v>33688</v>
      </c>
    </row>
    <row r="38" spans="1:9" x14ac:dyDescent="0.25">
      <c r="A38" s="1" t="s">
        <v>14</v>
      </c>
      <c r="B38" s="2">
        <f>SUMIF('RETURNEE DATASET'!B:B,A38,'RETURNEE DATASET'!AM:AM)</f>
        <v>0</v>
      </c>
      <c r="C38" s="2">
        <f>SUMIF('RETURNEE DATASET'!B:B,A38,'RETURNEE DATASET'!AN:AN)</f>
        <v>0</v>
      </c>
      <c r="D38" s="2">
        <f>SUMIF('RETURNEE DATASET'!B:B,A38,'RETURNEE DATASET'!AO:AO)</f>
        <v>3846</v>
      </c>
      <c r="E38" s="2">
        <f>SUMIF('RETURNEE DATASET'!B:B,A38,'RETURNEE DATASET'!AP:AP)</f>
        <v>0</v>
      </c>
      <c r="F38" s="2">
        <f>SUMIF('RETURNEE DATASET'!B:B,A38,'RETURNEE DATASET'!AQ:AQ)</f>
        <v>0</v>
      </c>
      <c r="G38" s="28">
        <f>SUMIF('RETURNEE DATASET'!B:B,A38,'RETURNEE DATASET'!AR:AR)</f>
        <v>0</v>
      </c>
      <c r="H38" s="28">
        <f>SUMIF('RETURNEE DATASET'!B:B,A38,'RETURNEE DATASET'!AS:AS)</f>
        <v>991</v>
      </c>
      <c r="I38" s="28">
        <f t="shared" si="6"/>
        <v>4837</v>
      </c>
    </row>
    <row r="39" spans="1:9" x14ac:dyDescent="0.25">
      <c r="A39" s="1" t="s">
        <v>16</v>
      </c>
      <c r="B39" s="2">
        <f>SUMIF('RETURNEE DATASET'!B:B,A39,'RETURNEE DATASET'!AM:AM)</f>
        <v>0</v>
      </c>
      <c r="C39" s="2">
        <f>SUMIF('RETURNEE DATASET'!B:B,A39,'RETURNEE DATASET'!AN:AN)</f>
        <v>80</v>
      </c>
      <c r="D39" s="2">
        <f>SUMIF('RETURNEE DATASET'!B:B,A39,'RETURNEE DATASET'!AO:AO)</f>
        <v>0</v>
      </c>
      <c r="E39" s="2">
        <f>SUMIF('RETURNEE DATASET'!B:B,A39,'RETURNEE DATASET'!AP:AP)</f>
        <v>494</v>
      </c>
      <c r="F39" s="2">
        <f>SUMIF('RETURNEE DATASET'!B:B,A39,'RETURNEE DATASET'!AQ:AQ)</f>
        <v>0</v>
      </c>
      <c r="G39" s="28">
        <f>SUMIF('RETURNEE DATASET'!B:B,A39,'RETURNEE DATASET'!AR:AR)</f>
        <v>0</v>
      </c>
      <c r="H39" s="28">
        <f>SUMIF('RETURNEE DATASET'!B:B,A39,'RETURNEE DATASET'!AS:AS)</f>
        <v>0</v>
      </c>
      <c r="I39" s="28">
        <f t="shared" si="6"/>
        <v>574</v>
      </c>
    </row>
    <row r="40" spans="1:9" x14ac:dyDescent="0.25">
      <c r="A40" s="1" t="s">
        <v>20</v>
      </c>
      <c r="B40" s="2">
        <f>SUMIF('RETURNEE DATASET'!B:B,A40,'RETURNEE DATASET'!AM:AM)</f>
        <v>0</v>
      </c>
      <c r="C40" s="2">
        <f>SUMIF('RETURNEE DATASET'!B:B,A40,'RETURNEE DATASET'!AN:AN)</f>
        <v>0</v>
      </c>
      <c r="D40" s="2">
        <f>SUMIF('RETURNEE DATASET'!B:B,A40,'RETURNEE DATASET'!AO:AO)</f>
        <v>23912</v>
      </c>
      <c r="E40" s="2">
        <f>SUMIF('RETURNEE DATASET'!B:B,A40,'RETURNEE DATASET'!AP:AP)</f>
        <v>0</v>
      </c>
      <c r="F40" s="2">
        <f>SUMIF('RETURNEE DATASET'!B:B,A40,'RETURNEE DATASET'!AQ:AQ)</f>
        <v>0</v>
      </c>
      <c r="G40" s="28">
        <f>SUMIF('RETURNEE DATASET'!B:B,A40,'RETURNEE DATASET'!AR:AR)</f>
        <v>5145</v>
      </c>
      <c r="H40" s="28">
        <f>SUMIF('RETURNEE DATASET'!B:B,A40,'RETURNEE DATASET'!AS:AS)</f>
        <v>4975</v>
      </c>
      <c r="I40" s="28">
        <f t="shared" si="6"/>
        <v>34032</v>
      </c>
    </row>
    <row r="41" spans="1:9" s="15" customFormat="1" x14ac:dyDescent="0.25">
      <c r="A41" s="16" t="s">
        <v>22</v>
      </c>
      <c r="B41" s="2">
        <f>SUMIF('RETURNEE DATASET'!B:B,A41,'RETURNEE DATASET'!AM:AM)</f>
        <v>5638</v>
      </c>
      <c r="C41" s="2">
        <f>SUMIF('RETURNEE DATASET'!B:B,A41,'RETURNEE DATASET'!AN:AN)</f>
        <v>30642</v>
      </c>
      <c r="D41" s="2">
        <f>SUMIF('RETURNEE DATASET'!B:B,A41,'RETURNEE DATASET'!AO:AO)</f>
        <v>12169</v>
      </c>
      <c r="E41" s="2">
        <f>SUMIF('RETURNEE DATASET'!B:B,A41,'RETURNEE DATASET'!AP:AP)</f>
        <v>8205</v>
      </c>
      <c r="F41" s="2">
        <f>SUMIF('RETURNEE DATASET'!B:B,A41,'RETURNEE DATASET'!AQ:AQ)</f>
        <v>676</v>
      </c>
      <c r="G41" s="28">
        <f>SUMIF('RETURNEE DATASET'!B:B,A41,'RETURNEE DATASET'!AR:AR)</f>
        <v>3503</v>
      </c>
      <c r="H41" s="28">
        <f>SUMIF('RETURNEE DATASET'!B:B,A41,'RETURNEE DATASET'!AS:AS)</f>
        <v>1669</v>
      </c>
      <c r="I41" s="28">
        <f t="shared" si="6"/>
        <v>62502</v>
      </c>
    </row>
    <row r="42" spans="1:9" x14ac:dyDescent="0.25">
      <c r="A42" s="6" t="s">
        <v>48</v>
      </c>
      <c r="B42" s="7">
        <f>SUM(B35:B41)</f>
        <v>37967</v>
      </c>
      <c r="C42" s="7">
        <f t="shared" ref="C42:F42" si="7">SUM(C35:C41)</f>
        <v>61033</v>
      </c>
      <c r="D42" s="7">
        <f t="shared" si="7"/>
        <v>43010</v>
      </c>
      <c r="E42" s="7">
        <f t="shared" si="7"/>
        <v>43350</v>
      </c>
      <c r="F42" s="7">
        <f t="shared" si="7"/>
        <v>37372</v>
      </c>
      <c r="G42" s="7">
        <f t="shared" ref="G42:H42" si="8">SUM(G35:G41)</f>
        <v>27567</v>
      </c>
      <c r="H42" s="7">
        <f t="shared" si="8"/>
        <v>7635</v>
      </c>
      <c r="I42" s="7">
        <f>SUM(I35:I41)</f>
        <v>257934</v>
      </c>
    </row>
    <row r="43" spans="1:9" ht="18" customHeight="1" x14ac:dyDescent="0.25"/>
  </sheetData>
  <mergeCells count="11">
    <mergeCell ref="A9:B9"/>
    <mergeCell ref="B11:M11"/>
    <mergeCell ref="B33:G33"/>
    <mergeCell ref="A1:B1"/>
    <mergeCell ref="A3:B3"/>
    <mergeCell ref="A4:B4"/>
    <mergeCell ref="A5:B5"/>
    <mergeCell ref="A6:B6"/>
    <mergeCell ref="A2:B2"/>
    <mergeCell ref="B22:N22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2017-01-26T10:07:40Z</dcterms:created>
  <dcterms:modified xsi:type="dcterms:W3CDTF">2017-02-19T10:50:23Z</dcterms:modified>
</cp:coreProperties>
</file>