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218.12\dtm\DTM Biweekly Reports\DTM 2016\November 2016\Round59 - 24 November 2016\TemplatesPublish\November 2016\Round 59 -24 November 2016\"/>
    </mc:Choice>
  </mc:AlternateContent>
  <bookViews>
    <workbookView xWindow="0" yWindow="0" windowWidth="28800" windowHeight="12435" activeTab="1"/>
  </bookViews>
  <sheets>
    <sheet name="RETURNEE DATASET" sheetId="1" r:id="rId1"/>
    <sheet name="Summary" sheetId="2" r:id="rId2"/>
  </sheets>
  <definedNames>
    <definedName name="_xlnm._FilterDatabase" localSheetId="0" hidden="1">'RETURNEE DATASET'!$A$4:$AY$554</definedName>
  </definedNames>
  <calcPr calcId="152511"/>
</workbook>
</file>

<file path=xl/calcChain.xml><?xml version="1.0" encoding="utf-8"?>
<calcChain xmlns="http://schemas.openxmlformats.org/spreadsheetml/2006/main">
  <c r="AW5" i="1" l="1"/>
  <c r="AX5" i="1"/>
  <c r="AY5" i="1"/>
  <c r="AW6" i="1"/>
  <c r="AX6" i="1"/>
  <c r="AY6" i="1"/>
  <c r="AW7" i="1"/>
  <c r="AX7" i="1"/>
  <c r="AY7" i="1"/>
  <c r="AW8" i="1"/>
  <c r="AX8" i="1"/>
  <c r="AY8" i="1"/>
  <c r="AW9" i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27" i="1"/>
  <c r="AX27" i="1"/>
  <c r="AY27" i="1"/>
  <c r="AW28" i="1"/>
  <c r="AX28" i="1"/>
  <c r="AY28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42" i="1"/>
  <c r="AX42" i="1"/>
  <c r="AY42" i="1"/>
  <c r="AW43" i="1"/>
  <c r="AX43" i="1"/>
  <c r="AY43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1" i="1"/>
  <c r="AX51" i="1"/>
  <c r="AY51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W60" i="1"/>
  <c r="AX60" i="1"/>
  <c r="AY60" i="1"/>
  <c r="AW61" i="1"/>
  <c r="AX61" i="1"/>
  <c r="AY61" i="1"/>
  <c r="AW62" i="1"/>
  <c r="AX62" i="1"/>
  <c r="AY62" i="1"/>
  <c r="AW63" i="1"/>
  <c r="AX63" i="1"/>
  <c r="AY63" i="1"/>
  <c r="AW64" i="1"/>
  <c r="AX64" i="1"/>
  <c r="AY64" i="1"/>
  <c r="AW65" i="1"/>
  <c r="AX65" i="1"/>
  <c r="AY65" i="1"/>
  <c r="AW66" i="1"/>
  <c r="AX66" i="1"/>
  <c r="AY66" i="1"/>
  <c r="AW67" i="1"/>
  <c r="AX67" i="1"/>
  <c r="AY67" i="1"/>
  <c r="AW68" i="1"/>
  <c r="AX68" i="1"/>
  <c r="AY68" i="1"/>
  <c r="AW69" i="1"/>
  <c r="AX69" i="1"/>
  <c r="AY69" i="1"/>
  <c r="AW70" i="1"/>
  <c r="AX70" i="1"/>
  <c r="AY70" i="1"/>
  <c r="AW71" i="1"/>
  <c r="AX71" i="1"/>
  <c r="AY71" i="1"/>
  <c r="AW72" i="1"/>
  <c r="AX72" i="1"/>
  <c r="AY72" i="1"/>
  <c r="AW73" i="1"/>
  <c r="AX73" i="1"/>
  <c r="AY73" i="1"/>
  <c r="AW74" i="1"/>
  <c r="AX74" i="1"/>
  <c r="AY74" i="1"/>
  <c r="AW75" i="1"/>
  <c r="AX75" i="1"/>
  <c r="AY75" i="1"/>
  <c r="AW76" i="1"/>
  <c r="AX76" i="1"/>
  <c r="AY76" i="1"/>
  <c r="AW77" i="1"/>
  <c r="AX77" i="1"/>
  <c r="AY77" i="1"/>
  <c r="AW78" i="1"/>
  <c r="AX78" i="1"/>
  <c r="AY78" i="1"/>
  <c r="AW79" i="1"/>
  <c r="AX79" i="1"/>
  <c r="AY79" i="1"/>
  <c r="AW80" i="1"/>
  <c r="AX80" i="1"/>
  <c r="AY80" i="1"/>
  <c r="AW81" i="1"/>
  <c r="AX81" i="1"/>
  <c r="AY81" i="1"/>
  <c r="AW82" i="1"/>
  <c r="AX82" i="1"/>
  <c r="AY82" i="1"/>
  <c r="AW83" i="1"/>
  <c r="AX83" i="1"/>
  <c r="AY83" i="1"/>
  <c r="AW84" i="1"/>
  <c r="AX84" i="1"/>
  <c r="AY84" i="1"/>
  <c r="AW85" i="1"/>
  <c r="AX85" i="1"/>
  <c r="AY85" i="1"/>
  <c r="AW86" i="1"/>
  <c r="AX86" i="1"/>
  <c r="AY86" i="1"/>
  <c r="AW87" i="1"/>
  <c r="AX87" i="1"/>
  <c r="AY87" i="1"/>
  <c r="AW88" i="1"/>
  <c r="AX88" i="1"/>
  <c r="AY88" i="1"/>
  <c r="AW89" i="1"/>
  <c r="AX89" i="1"/>
  <c r="AY89" i="1"/>
  <c r="AW90" i="1"/>
  <c r="AX90" i="1"/>
  <c r="AY90" i="1"/>
  <c r="AW91" i="1"/>
  <c r="AX91" i="1"/>
  <c r="AY91" i="1"/>
  <c r="AW92" i="1"/>
  <c r="AX92" i="1"/>
  <c r="AY92" i="1"/>
  <c r="AW93" i="1"/>
  <c r="AX93" i="1"/>
  <c r="AY93" i="1"/>
  <c r="AW94" i="1"/>
  <c r="AX94" i="1"/>
  <c r="AY94" i="1"/>
  <c r="AW95" i="1"/>
  <c r="AX95" i="1"/>
  <c r="AY95" i="1"/>
  <c r="AW96" i="1"/>
  <c r="AX96" i="1"/>
  <c r="AY96" i="1"/>
  <c r="AW97" i="1"/>
  <c r="AX97" i="1"/>
  <c r="AY97" i="1"/>
  <c r="AW98" i="1"/>
  <c r="AX98" i="1"/>
  <c r="AY98" i="1"/>
  <c r="AW99" i="1"/>
  <c r="AX99" i="1"/>
  <c r="AY99" i="1"/>
  <c r="AW100" i="1"/>
  <c r="AX100" i="1"/>
  <c r="AY100" i="1"/>
  <c r="AW101" i="1"/>
  <c r="AX101" i="1"/>
  <c r="AY101" i="1"/>
  <c r="AW102" i="1"/>
  <c r="AX102" i="1"/>
  <c r="AY102" i="1"/>
  <c r="AW103" i="1"/>
  <c r="AX103" i="1"/>
  <c r="AY103" i="1"/>
  <c r="AW104" i="1"/>
  <c r="AX104" i="1"/>
  <c r="AY104" i="1"/>
  <c r="AW105" i="1"/>
  <c r="AX105" i="1"/>
  <c r="AY105" i="1"/>
  <c r="AW106" i="1"/>
  <c r="AX106" i="1"/>
  <c r="AY106" i="1"/>
  <c r="AW107" i="1"/>
  <c r="AX107" i="1"/>
  <c r="AY107" i="1"/>
  <c r="AW108" i="1"/>
  <c r="AX108" i="1"/>
  <c r="AY108" i="1"/>
  <c r="AW109" i="1"/>
  <c r="AX109" i="1"/>
  <c r="AY109" i="1"/>
  <c r="AW110" i="1"/>
  <c r="AX110" i="1"/>
  <c r="AY110" i="1"/>
  <c r="AW111" i="1"/>
  <c r="AX111" i="1"/>
  <c r="AY111" i="1"/>
  <c r="AW112" i="1"/>
  <c r="AX112" i="1"/>
  <c r="AY112" i="1"/>
  <c r="AW113" i="1"/>
  <c r="AX113" i="1"/>
  <c r="AY113" i="1"/>
  <c r="AW114" i="1"/>
  <c r="AX114" i="1"/>
  <c r="AY114" i="1"/>
  <c r="AW115" i="1"/>
  <c r="AX115" i="1"/>
  <c r="AY115" i="1"/>
  <c r="AW116" i="1"/>
  <c r="AX116" i="1"/>
  <c r="AY116" i="1"/>
  <c r="AW117" i="1"/>
  <c r="AX117" i="1"/>
  <c r="AY117" i="1"/>
  <c r="AW118" i="1"/>
  <c r="AX118" i="1"/>
  <c r="AY118" i="1"/>
  <c r="AW119" i="1"/>
  <c r="AX119" i="1"/>
  <c r="AY119" i="1"/>
  <c r="AW120" i="1"/>
  <c r="AX120" i="1"/>
  <c r="AY120" i="1"/>
  <c r="AW121" i="1"/>
  <c r="AX121" i="1"/>
  <c r="AY121" i="1"/>
  <c r="AW122" i="1"/>
  <c r="AX122" i="1"/>
  <c r="AY122" i="1"/>
  <c r="AW123" i="1"/>
  <c r="AX123" i="1"/>
  <c r="AY123" i="1"/>
  <c r="AW124" i="1"/>
  <c r="AX124" i="1"/>
  <c r="AY124" i="1"/>
  <c r="AW125" i="1"/>
  <c r="AX125" i="1"/>
  <c r="AY125" i="1"/>
  <c r="AW126" i="1"/>
  <c r="AX126" i="1"/>
  <c r="AY126" i="1"/>
  <c r="AW127" i="1"/>
  <c r="AX127" i="1"/>
  <c r="AY127" i="1"/>
  <c r="AW128" i="1"/>
  <c r="AX128" i="1"/>
  <c r="AY128" i="1"/>
  <c r="AW129" i="1"/>
  <c r="AX129" i="1"/>
  <c r="AY129" i="1"/>
  <c r="AW130" i="1"/>
  <c r="AX130" i="1"/>
  <c r="AY130" i="1"/>
  <c r="AW131" i="1"/>
  <c r="AX131" i="1"/>
  <c r="AY131" i="1"/>
  <c r="AW132" i="1"/>
  <c r="AX132" i="1"/>
  <c r="AY132" i="1"/>
  <c r="AW133" i="1"/>
  <c r="AX133" i="1"/>
  <c r="AY133" i="1"/>
  <c r="AW134" i="1"/>
  <c r="AX134" i="1"/>
  <c r="AY134" i="1"/>
  <c r="AW135" i="1"/>
  <c r="AX135" i="1"/>
  <c r="AY135" i="1"/>
  <c r="AW136" i="1"/>
  <c r="AX136" i="1"/>
  <c r="AY136" i="1"/>
  <c r="AW137" i="1"/>
  <c r="AX137" i="1"/>
  <c r="AY137" i="1"/>
  <c r="AW138" i="1"/>
  <c r="AX138" i="1"/>
  <c r="AY138" i="1"/>
  <c r="AW139" i="1"/>
  <c r="AX139" i="1"/>
  <c r="AY139" i="1"/>
  <c r="AW140" i="1"/>
  <c r="AX140" i="1"/>
  <c r="AY140" i="1"/>
  <c r="AW141" i="1"/>
  <c r="AX141" i="1"/>
  <c r="AY141" i="1"/>
  <c r="AW142" i="1"/>
  <c r="AX142" i="1"/>
  <c r="AY142" i="1"/>
  <c r="AW143" i="1"/>
  <c r="AX143" i="1"/>
  <c r="AY143" i="1"/>
  <c r="AW144" i="1"/>
  <c r="AX144" i="1"/>
  <c r="AY144" i="1"/>
  <c r="AW145" i="1"/>
  <c r="AX145" i="1"/>
  <c r="AY145" i="1"/>
  <c r="AW146" i="1"/>
  <c r="AX146" i="1"/>
  <c r="AY146" i="1"/>
  <c r="AW147" i="1"/>
  <c r="AX147" i="1"/>
  <c r="AY147" i="1"/>
  <c r="AW148" i="1"/>
  <c r="AX148" i="1"/>
  <c r="AY148" i="1"/>
  <c r="AW149" i="1"/>
  <c r="AX149" i="1"/>
  <c r="AY149" i="1"/>
  <c r="AW150" i="1"/>
  <c r="AX150" i="1"/>
  <c r="AY150" i="1"/>
  <c r="AW151" i="1"/>
  <c r="AX151" i="1"/>
  <c r="AY151" i="1"/>
  <c r="AW152" i="1"/>
  <c r="AX152" i="1"/>
  <c r="AY152" i="1"/>
  <c r="AW153" i="1"/>
  <c r="AX153" i="1"/>
  <c r="AY153" i="1"/>
  <c r="AW154" i="1"/>
  <c r="AX154" i="1"/>
  <c r="AY154" i="1"/>
  <c r="AW155" i="1"/>
  <c r="AX155" i="1"/>
  <c r="AY155" i="1"/>
  <c r="AW156" i="1"/>
  <c r="AX156" i="1"/>
  <c r="AY156" i="1"/>
  <c r="AW157" i="1"/>
  <c r="AX157" i="1"/>
  <c r="AY157" i="1"/>
  <c r="AW158" i="1"/>
  <c r="AX158" i="1"/>
  <c r="AY158" i="1"/>
  <c r="AW159" i="1"/>
  <c r="AX159" i="1"/>
  <c r="AY159" i="1"/>
  <c r="AW160" i="1"/>
  <c r="AX160" i="1"/>
  <c r="AY160" i="1"/>
  <c r="AW161" i="1"/>
  <c r="AX161" i="1"/>
  <c r="AY161" i="1"/>
  <c r="AW162" i="1"/>
  <c r="AX162" i="1"/>
  <c r="AY162" i="1"/>
  <c r="AW163" i="1"/>
  <c r="AX163" i="1"/>
  <c r="AY163" i="1"/>
  <c r="AW164" i="1"/>
  <c r="AX164" i="1"/>
  <c r="AY164" i="1"/>
  <c r="AW165" i="1"/>
  <c r="AX165" i="1"/>
  <c r="AY165" i="1"/>
  <c r="AW166" i="1"/>
  <c r="AX166" i="1"/>
  <c r="AY166" i="1"/>
  <c r="AW167" i="1"/>
  <c r="AX167" i="1"/>
  <c r="AY167" i="1"/>
  <c r="AW168" i="1"/>
  <c r="AX168" i="1"/>
  <c r="AY168" i="1"/>
  <c r="AW169" i="1"/>
  <c r="AX169" i="1"/>
  <c r="AY169" i="1"/>
  <c r="AW170" i="1"/>
  <c r="AX170" i="1"/>
  <c r="AY170" i="1"/>
  <c r="AW171" i="1"/>
  <c r="AX171" i="1"/>
  <c r="AY171" i="1"/>
  <c r="AW172" i="1"/>
  <c r="AX172" i="1"/>
  <c r="AY172" i="1"/>
  <c r="AW173" i="1"/>
  <c r="AX173" i="1"/>
  <c r="AY173" i="1"/>
  <c r="AW174" i="1"/>
  <c r="AX174" i="1"/>
  <c r="AY174" i="1"/>
  <c r="AW175" i="1"/>
  <c r="AX175" i="1"/>
  <c r="AY175" i="1"/>
  <c r="AW176" i="1"/>
  <c r="AX176" i="1"/>
  <c r="AY176" i="1"/>
  <c r="AW177" i="1"/>
  <c r="AX177" i="1"/>
  <c r="AY177" i="1"/>
  <c r="AW178" i="1"/>
  <c r="AX178" i="1"/>
  <c r="AY178" i="1"/>
  <c r="AW179" i="1"/>
  <c r="AX179" i="1"/>
  <c r="AY179" i="1"/>
  <c r="AW180" i="1"/>
  <c r="AX180" i="1"/>
  <c r="AY180" i="1"/>
  <c r="AW181" i="1"/>
  <c r="AX181" i="1"/>
  <c r="AY181" i="1"/>
  <c r="AW182" i="1"/>
  <c r="AX182" i="1"/>
  <c r="AY182" i="1"/>
  <c r="AW183" i="1"/>
  <c r="AX183" i="1"/>
  <c r="AY183" i="1"/>
  <c r="AW184" i="1"/>
  <c r="AX184" i="1"/>
  <c r="AY184" i="1"/>
  <c r="AW185" i="1"/>
  <c r="AX185" i="1"/>
  <c r="AY185" i="1"/>
  <c r="AW186" i="1"/>
  <c r="AX186" i="1"/>
  <c r="AY186" i="1"/>
  <c r="AW187" i="1"/>
  <c r="AX187" i="1"/>
  <c r="AY187" i="1"/>
  <c r="AW188" i="1"/>
  <c r="AX188" i="1"/>
  <c r="AY188" i="1"/>
  <c r="AW189" i="1"/>
  <c r="AX189" i="1"/>
  <c r="AY189" i="1"/>
  <c r="AW190" i="1"/>
  <c r="AX190" i="1"/>
  <c r="AY190" i="1"/>
  <c r="AW191" i="1"/>
  <c r="AX191" i="1"/>
  <c r="AY191" i="1"/>
  <c r="AW192" i="1"/>
  <c r="AX192" i="1"/>
  <c r="AY192" i="1"/>
  <c r="AW193" i="1"/>
  <c r="AX193" i="1"/>
  <c r="AY193" i="1"/>
  <c r="AW194" i="1"/>
  <c r="AX194" i="1"/>
  <c r="AY194" i="1"/>
  <c r="AW195" i="1"/>
  <c r="AX195" i="1"/>
  <c r="AY195" i="1"/>
  <c r="AW196" i="1"/>
  <c r="AX196" i="1"/>
  <c r="AY196" i="1"/>
  <c r="AW197" i="1"/>
  <c r="AX197" i="1"/>
  <c r="AY197" i="1"/>
  <c r="AW198" i="1"/>
  <c r="AX198" i="1"/>
  <c r="AY198" i="1"/>
  <c r="AW199" i="1"/>
  <c r="AX199" i="1"/>
  <c r="AY199" i="1"/>
  <c r="AW200" i="1"/>
  <c r="AX200" i="1"/>
  <c r="AY200" i="1"/>
  <c r="AW201" i="1"/>
  <c r="AX201" i="1"/>
  <c r="AY201" i="1"/>
  <c r="AW202" i="1"/>
  <c r="AX202" i="1"/>
  <c r="AY202" i="1"/>
  <c r="AW203" i="1"/>
  <c r="AX203" i="1"/>
  <c r="AY203" i="1"/>
  <c r="AW204" i="1"/>
  <c r="AX204" i="1"/>
  <c r="AY204" i="1"/>
  <c r="AW205" i="1"/>
  <c r="AX205" i="1"/>
  <c r="AY205" i="1"/>
  <c r="AW206" i="1"/>
  <c r="AX206" i="1"/>
  <c r="AY206" i="1"/>
  <c r="AW207" i="1"/>
  <c r="AX207" i="1"/>
  <c r="AY207" i="1"/>
  <c r="AW208" i="1"/>
  <c r="AX208" i="1"/>
  <c r="AY208" i="1"/>
  <c r="AW209" i="1"/>
  <c r="AX209" i="1"/>
  <c r="AY209" i="1"/>
  <c r="AW210" i="1"/>
  <c r="AX210" i="1"/>
  <c r="AY210" i="1"/>
  <c r="AW211" i="1"/>
  <c r="AX211" i="1"/>
  <c r="AY211" i="1"/>
  <c r="AW212" i="1"/>
  <c r="AX212" i="1"/>
  <c r="AY212" i="1"/>
  <c r="AW213" i="1"/>
  <c r="AX213" i="1"/>
  <c r="AY213" i="1"/>
  <c r="AW214" i="1"/>
  <c r="AX214" i="1"/>
  <c r="AY214" i="1"/>
  <c r="AW215" i="1"/>
  <c r="AX215" i="1"/>
  <c r="AY215" i="1"/>
  <c r="AW216" i="1"/>
  <c r="AX216" i="1"/>
  <c r="AY216" i="1"/>
  <c r="AW217" i="1"/>
  <c r="AX217" i="1"/>
  <c r="AY217" i="1"/>
  <c r="AW218" i="1"/>
  <c r="AX218" i="1"/>
  <c r="AY218" i="1"/>
  <c r="AW219" i="1"/>
  <c r="AX219" i="1"/>
  <c r="AY219" i="1"/>
  <c r="AW220" i="1"/>
  <c r="AX220" i="1"/>
  <c r="AY220" i="1"/>
  <c r="AW221" i="1"/>
  <c r="AX221" i="1"/>
  <c r="AY221" i="1"/>
  <c r="AW222" i="1"/>
  <c r="AX222" i="1"/>
  <c r="AY222" i="1"/>
  <c r="AW223" i="1"/>
  <c r="AX223" i="1"/>
  <c r="AY223" i="1"/>
  <c r="AW224" i="1"/>
  <c r="AX224" i="1"/>
  <c r="AY224" i="1"/>
  <c r="AW225" i="1"/>
  <c r="AX225" i="1"/>
  <c r="AY225" i="1"/>
  <c r="AW226" i="1"/>
  <c r="AX226" i="1"/>
  <c r="AY226" i="1"/>
  <c r="AW227" i="1"/>
  <c r="AX227" i="1"/>
  <c r="AY227" i="1"/>
  <c r="AW228" i="1"/>
  <c r="AX228" i="1"/>
  <c r="AY228" i="1"/>
  <c r="AW229" i="1"/>
  <c r="AX229" i="1"/>
  <c r="AY229" i="1"/>
  <c r="AW230" i="1"/>
  <c r="AX230" i="1"/>
  <c r="AY230" i="1"/>
  <c r="AW231" i="1"/>
  <c r="AX231" i="1"/>
  <c r="AY231" i="1"/>
  <c r="AW232" i="1"/>
  <c r="AX232" i="1"/>
  <c r="AY232" i="1"/>
  <c r="AW233" i="1"/>
  <c r="AX233" i="1"/>
  <c r="AY233" i="1"/>
  <c r="AW234" i="1"/>
  <c r="AX234" i="1"/>
  <c r="AY234" i="1"/>
  <c r="AW235" i="1"/>
  <c r="AX235" i="1"/>
  <c r="AY235" i="1"/>
  <c r="AW236" i="1"/>
  <c r="AX236" i="1"/>
  <c r="AY236" i="1"/>
  <c r="AW237" i="1"/>
  <c r="AX237" i="1"/>
  <c r="AY237" i="1"/>
  <c r="AW238" i="1"/>
  <c r="AX238" i="1"/>
  <c r="AY238" i="1"/>
  <c r="AW239" i="1"/>
  <c r="AX239" i="1"/>
  <c r="AY239" i="1"/>
  <c r="AW240" i="1"/>
  <c r="AX240" i="1"/>
  <c r="AY240" i="1"/>
  <c r="AW241" i="1"/>
  <c r="AX241" i="1"/>
  <c r="AY241" i="1"/>
  <c r="AW242" i="1"/>
  <c r="AX242" i="1"/>
  <c r="AY242" i="1"/>
  <c r="AW243" i="1"/>
  <c r="AX243" i="1"/>
  <c r="AY243" i="1"/>
  <c r="AW244" i="1"/>
  <c r="AX244" i="1"/>
  <c r="AY244" i="1"/>
  <c r="AW245" i="1"/>
  <c r="AX245" i="1"/>
  <c r="AY245" i="1"/>
  <c r="AW246" i="1"/>
  <c r="AX246" i="1"/>
  <c r="AY246" i="1"/>
  <c r="AW247" i="1"/>
  <c r="AX247" i="1"/>
  <c r="AY247" i="1"/>
  <c r="AW248" i="1"/>
  <c r="AX248" i="1"/>
  <c r="AY248" i="1"/>
  <c r="AW249" i="1"/>
  <c r="AX249" i="1"/>
  <c r="AY249" i="1"/>
  <c r="AW250" i="1"/>
  <c r="AX250" i="1"/>
  <c r="AY250" i="1"/>
  <c r="AW251" i="1"/>
  <c r="AX251" i="1"/>
  <c r="AY251" i="1"/>
  <c r="AW252" i="1"/>
  <c r="AX252" i="1"/>
  <c r="AY252" i="1"/>
  <c r="AW253" i="1"/>
  <c r="AX253" i="1"/>
  <c r="AY253" i="1"/>
  <c r="AW254" i="1"/>
  <c r="AX254" i="1"/>
  <c r="AY254" i="1"/>
  <c r="AW255" i="1"/>
  <c r="AX255" i="1"/>
  <c r="AY255" i="1"/>
  <c r="AW256" i="1"/>
  <c r="AX256" i="1"/>
  <c r="AY256" i="1"/>
  <c r="AW257" i="1"/>
  <c r="AX257" i="1"/>
  <c r="AY257" i="1"/>
  <c r="AW258" i="1"/>
  <c r="AX258" i="1"/>
  <c r="AY258" i="1"/>
  <c r="AW259" i="1"/>
  <c r="AX259" i="1"/>
  <c r="AY259" i="1"/>
  <c r="AW260" i="1"/>
  <c r="AX260" i="1"/>
  <c r="AY260" i="1"/>
  <c r="AW261" i="1"/>
  <c r="AX261" i="1"/>
  <c r="AY261" i="1"/>
  <c r="AW262" i="1"/>
  <c r="AX262" i="1"/>
  <c r="AY262" i="1"/>
  <c r="AW263" i="1"/>
  <c r="AX263" i="1"/>
  <c r="AY263" i="1"/>
  <c r="AW264" i="1"/>
  <c r="AX264" i="1"/>
  <c r="AY264" i="1"/>
  <c r="AW265" i="1"/>
  <c r="AX265" i="1"/>
  <c r="AY265" i="1"/>
  <c r="AW266" i="1"/>
  <c r="AX266" i="1"/>
  <c r="AY266" i="1"/>
  <c r="AW267" i="1"/>
  <c r="AX267" i="1"/>
  <c r="AY267" i="1"/>
  <c r="AW268" i="1"/>
  <c r="AX268" i="1"/>
  <c r="AY268" i="1"/>
  <c r="AW269" i="1"/>
  <c r="AX269" i="1"/>
  <c r="AY269" i="1"/>
  <c r="AW270" i="1"/>
  <c r="AX270" i="1"/>
  <c r="AY270" i="1"/>
  <c r="AW271" i="1"/>
  <c r="AX271" i="1"/>
  <c r="AY271" i="1"/>
  <c r="AW272" i="1"/>
  <c r="AX272" i="1"/>
  <c r="AY272" i="1"/>
  <c r="AW273" i="1"/>
  <c r="AX273" i="1"/>
  <c r="AY273" i="1"/>
  <c r="AW274" i="1"/>
  <c r="AX274" i="1"/>
  <c r="AY274" i="1"/>
  <c r="AW275" i="1"/>
  <c r="AX275" i="1"/>
  <c r="AY275" i="1"/>
  <c r="AW276" i="1"/>
  <c r="AX276" i="1"/>
  <c r="AY276" i="1"/>
  <c r="AW277" i="1"/>
  <c r="AX277" i="1"/>
  <c r="AY277" i="1"/>
  <c r="AW278" i="1"/>
  <c r="AX278" i="1"/>
  <c r="AY278" i="1"/>
  <c r="AW279" i="1"/>
  <c r="AX279" i="1"/>
  <c r="AY279" i="1"/>
  <c r="AW280" i="1"/>
  <c r="AX280" i="1"/>
  <c r="AY280" i="1"/>
  <c r="AW281" i="1"/>
  <c r="AX281" i="1"/>
  <c r="AY281" i="1"/>
  <c r="AW282" i="1"/>
  <c r="AX282" i="1"/>
  <c r="AY282" i="1"/>
  <c r="AW283" i="1"/>
  <c r="AX283" i="1"/>
  <c r="AY283" i="1"/>
  <c r="AW284" i="1"/>
  <c r="AX284" i="1"/>
  <c r="AY284" i="1"/>
  <c r="AW285" i="1"/>
  <c r="AX285" i="1"/>
  <c r="AY285" i="1"/>
  <c r="AW286" i="1"/>
  <c r="AX286" i="1"/>
  <c r="AY286" i="1"/>
  <c r="AW287" i="1"/>
  <c r="AX287" i="1"/>
  <c r="AY287" i="1"/>
  <c r="AW288" i="1"/>
  <c r="AX288" i="1"/>
  <c r="AY288" i="1"/>
  <c r="AW289" i="1"/>
  <c r="AX289" i="1"/>
  <c r="AY289" i="1"/>
  <c r="AW290" i="1"/>
  <c r="AX290" i="1"/>
  <c r="AY290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W315" i="1"/>
  <c r="AX315" i="1"/>
  <c r="AY315" i="1"/>
  <c r="AW316" i="1"/>
  <c r="AX316" i="1"/>
  <c r="AY316" i="1"/>
  <c r="AW317" i="1"/>
  <c r="AX317" i="1"/>
  <c r="AY317" i="1"/>
  <c r="AW318" i="1"/>
  <c r="AX318" i="1"/>
  <c r="AY318" i="1"/>
  <c r="AW319" i="1"/>
  <c r="AX319" i="1"/>
  <c r="AY319" i="1"/>
  <c r="AW320" i="1"/>
  <c r="AX320" i="1"/>
  <c r="AY320" i="1"/>
  <c r="AW321" i="1"/>
  <c r="AX321" i="1"/>
  <c r="AY321" i="1"/>
  <c r="AW322" i="1"/>
  <c r="AX322" i="1"/>
  <c r="AY322" i="1"/>
  <c r="AW323" i="1"/>
  <c r="AX323" i="1"/>
  <c r="AY323" i="1"/>
  <c r="AW324" i="1"/>
  <c r="AX324" i="1"/>
  <c r="AY324" i="1"/>
  <c r="AW325" i="1"/>
  <c r="AX325" i="1"/>
  <c r="AY325" i="1"/>
  <c r="AW326" i="1"/>
  <c r="AX326" i="1"/>
  <c r="AY326" i="1"/>
  <c r="AW327" i="1"/>
  <c r="AX327" i="1"/>
  <c r="AY327" i="1"/>
  <c r="AW328" i="1"/>
  <c r="AX328" i="1"/>
  <c r="AY328" i="1"/>
  <c r="AW329" i="1"/>
  <c r="AX329" i="1"/>
  <c r="AY329" i="1"/>
  <c r="AW330" i="1"/>
  <c r="AX330" i="1"/>
  <c r="AY330" i="1"/>
  <c r="AW331" i="1"/>
  <c r="AX331" i="1"/>
  <c r="AY331" i="1"/>
  <c r="AW332" i="1"/>
  <c r="AX332" i="1"/>
  <c r="AY332" i="1"/>
  <c r="AW333" i="1"/>
  <c r="AX333" i="1"/>
  <c r="AY333" i="1"/>
  <c r="AW334" i="1"/>
  <c r="AX334" i="1"/>
  <c r="AY334" i="1"/>
  <c r="AW335" i="1"/>
  <c r="AX335" i="1"/>
  <c r="AY335" i="1"/>
  <c r="AW336" i="1"/>
  <c r="AX336" i="1"/>
  <c r="AY336" i="1"/>
  <c r="AW337" i="1"/>
  <c r="AX337" i="1"/>
  <c r="AY337" i="1"/>
  <c r="AW338" i="1"/>
  <c r="AX338" i="1"/>
  <c r="AY338" i="1"/>
  <c r="AW339" i="1"/>
  <c r="AX339" i="1"/>
  <c r="AY339" i="1"/>
  <c r="AW340" i="1"/>
  <c r="AX340" i="1"/>
  <c r="AY340" i="1"/>
  <c r="AW341" i="1"/>
  <c r="AX341" i="1"/>
  <c r="AY341" i="1"/>
  <c r="AW342" i="1"/>
  <c r="AX342" i="1"/>
  <c r="AY342" i="1"/>
  <c r="AW343" i="1"/>
  <c r="AX343" i="1"/>
  <c r="AY343" i="1"/>
  <c r="AW344" i="1"/>
  <c r="AX344" i="1"/>
  <c r="AY344" i="1"/>
  <c r="AW345" i="1"/>
  <c r="AX345" i="1"/>
  <c r="AY345" i="1"/>
  <c r="AW346" i="1"/>
  <c r="AX346" i="1"/>
  <c r="AY346" i="1"/>
  <c r="AW347" i="1"/>
  <c r="AX347" i="1"/>
  <c r="AY347" i="1"/>
  <c r="AW348" i="1"/>
  <c r="AX348" i="1"/>
  <c r="AY348" i="1"/>
  <c r="AW349" i="1"/>
  <c r="AX349" i="1"/>
  <c r="AY349" i="1"/>
  <c r="AW350" i="1"/>
  <c r="AX350" i="1"/>
  <c r="AY350" i="1"/>
  <c r="AW351" i="1"/>
  <c r="AX351" i="1"/>
  <c r="AY351" i="1"/>
  <c r="AW352" i="1"/>
  <c r="AX352" i="1"/>
  <c r="AY352" i="1"/>
  <c r="AW353" i="1"/>
  <c r="AX353" i="1"/>
  <c r="AY353" i="1"/>
  <c r="AW354" i="1"/>
  <c r="AX354" i="1"/>
  <c r="AY354" i="1"/>
  <c r="AW355" i="1"/>
  <c r="AX355" i="1"/>
  <c r="AY355" i="1"/>
  <c r="AW356" i="1"/>
  <c r="AX356" i="1"/>
  <c r="AY356" i="1"/>
  <c r="AW357" i="1"/>
  <c r="AX357" i="1"/>
  <c r="AY357" i="1"/>
  <c r="AW358" i="1"/>
  <c r="AX358" i="1"/>
  <c r="AY358" i="1"/>
  <c r="AW359" i="1"/>
  <c r="AX359" i="1"/>
  <c r="AY359" i="1"/>
  <c r="AW360" i="1"/>
  <c r="AX360" i="1"/>
  <c r="AY360" i="1"/>
  <c r="AW361" i="1"/>
  <c r="AX361" i="1"/>
  <c r="AY361" i="1"/>
  <c r="AW362" i="1"/>
  <c r="AX362" i="1"/>
  <c r="AY362" i="1"/>
  <c r="AW363" i="1"/>
  <c r="AX363" i="1"/>
  <c r="AY363" i="1"/>
  <c r="AW364" i="1"/>
  <c r="AX364" i="1"/>
  <c r="AY364" i="1"/>
  <c r="AW365" i="1"/>
  <c r="AX365" i="1"/>
  <c r="AY365" i="1"/>
  <c r="AW366" i="1"/>
  <c r="AX366" i="1"/>
  <c r="AY366" i="1"/>
  <c r="AW367" i="1"/>
  <c r="AX367" i="1"/>
  <c r="AY367" i="1"/>
  <c r="AW368" i="1"/>
  <c r="AX368" i="1"/>
  <c r="AY368" i="1"/>
  <c r="AW369" i="1"/>
  <c r="AX369" i="1"/>
  <c r="AY369" i="1"/>
  <c r="AW370" i="1"/>
  <c r="AX370" i="1"/>
  <c r="AY370" i="1"/>
  <c r="AW371" i="1"/>
  <c r="AX371" i="1"/>
  <c r="AY371" i="1"/>
  <c r="AW372" i="1"/>
  <c r="AX372" i="1"/>
  <c r="AY372" i="1"/>
  <c r="AW373" i="1"/>
  <c r="AX373" i="1"/>
  <c r="AY373" i="1"/>
  <c r="AW374" i="1"/>
  <c r="AX374" i="1"/>
  <c r="AY374" i="1"/>
  <c r="AW375" i="1"/>
  <c r="AX375" i="1"/>
  <c r="AY375" i="1"/>
  <c r="AW376" i="1"/>
  <c r="AX376" i="1"/>
  <c r="AY376" i="1"/>
  <c r="AW377" i="1"/>
  <c r="AX377" i="1"/>
  <c r="AY377" i="1"/>
  <c r="AW378" i="1"/>
  <c r="AX378" i="1"/>
  <c r="AY378" i="1"/>
  <c r="AW379" i="1"/>
  <c r="AX379" i="1"/>
  <c r="AY379" i="1"/>
  <c r="AW380" i="1"/>
  <c r="AX380" i="1"/>
  <c r="AY380" i="1"/>
  <c r="AW381" i="1"/>
  <c r="AX381" i="1"/>
  <c r="AY381" i="1"/>
  <c r="AW382" i="1"/>
  <c r="AX382" i="1"/>
  <c r="AY382" i="1"/>
  <c r="AW383" i="1"/>
  <c r="AX383" i="1"/>
  <c r="AY383" i="1"/>
  <c r="AW384" i="1"/>
  <c r="AX384" i="1"/>
  <c r="AY384" i="1"/>
  <c r="AW385" i="1"/>
  <c r="AX385" i="1"/>
  <c r="AY385" i="1"/>
  <c r="AW386" i="1"/>
  <c r="AX386" i="1"/>
  <c r="AY386" i="1"/>
  <c r="AW387" i="1"/>
  <c r="AX387" i="1"/>
  <c r="AY387" i="1"/>
  <c r="AW388" i="1"/>
  <c r="AX388" i="1"/>
  <c r="AY388" i="1"/>
  <c r="AW389" i="1"/>
  <c r="AX389" i="1"/>
  <c r="AY389" i="1"/>
  <c r="AW390" i="1"/>
  <c r="AX390" i="1"/>
  <c r="AY390" i="1"/>
  <c r="AW391" i="1"/>
  <c r="AX391" i="1"/>
  <c r="AY391" i="1"/>
  <c r="AW392" i="1"/>
  <c r="AX392" i="1"/>
  <c r="AY392" i="1"/>
  <c r="AW393" i="1"/>
  <c r="AX393" i="1"/>
  <c r="AY393" i="1"/>
  <c r="AW394" i="1"/>
  <c r="AX394" i="1"/>
  <c r="AY394" i="1"/>
  <c r="AW395" i="1"/>
  <c r="AX395" i="1"/>
  <c r="AY395" i="1"/>
  <c r="AW396" i="1"/>
  <c r="AX396" i="1"/>
  <c r="AY396" i="1"/>
  <c r="AW397" i="1"/>
  <c r="AX397" i="1"/>
  <c r="AY397" i="1"/>
  <c r="AW398" i="1"/>
  <c r="AX398" i="1"/>
  <c r="AY398" i="1"/>
  <c r="AW399" i="1"/>
  <c r="AX399" i="1"/>
  <c r="AY399" i="1"/>
  <c r="AW400" i="1"/>
  <c r="AX400" i="1"/>
  <c r="AY400" i="1"/>
  <c r="AW401" i="1"/>
  <c r="AX401" i="1"/>
  <c r="AY401" i="1"/>
  <c r="AW402" i="1"/>
  <c r="AX402" i="1"/>
  <c r="AY402" i="1"/>
  <c r="AW403" i="1"/>
  <c r="AX403" i="1"/>
  <c r="AY403" i="1"/>
  <c r="AW404" i="1"/>
  <c r="AX404" i="1"/>
  <c r="AY404" i="1"/>
  <c r="AW405" i="1"/>
  <c r="AX405" i="1"/>
  <c r="AY405" i="1"/>
  <c r="AW406" i="1"/>
  <c r="AX406" i="1"/>
  <c r="AY406" i="1"/>
  <c r="AW407" i="1"/>
  <c r="AX407" i="1"/>
  <c r="AY407" i="1"/>
  <c r="AW408" i="1"/>
  <c r="AX408" i="1"/>
  <c r="AY408" i="1"/>
  <c r="AW409" i="1"/>
  <c r="AX409" i="1"/>
  <c r="AY409" i="1"/>
  <c r="AW410" i="1"/>
  <c r="AX410" i="1"/>
  <c r="AY410" i="1"/>
  <c r="AW411" i="1"/>
  <c r="AX411" i="1"/>
  <c r="AY411" i="1"/>
  <c r="AW412" i="1"/>
  <c r="AX412" i="1"/>
  <c r="AY412" i="1"/>
  <c r="AW413" i="1"/>
  <c r="AX413" i="1"/>
  <c r="AY413" i="1"/>
  <c r="AW414" i="1"/>
  <c r="AX414" i="1"/>
  <c r="AY414" i="1"/>
  <c r="AW415" i="1"/>
  <c r="AX415" i="1"/>
  <c r="AY415" i="1"/>
  <c r="AW416" i="1"/>
  <c r="AX416" i="1"/>
  <c r="AY416" i="1"/>
  <c r="AW417" i="1"/>
  <c r="AX417" i="1"/>
  <c r="AY417" i="1"/>
  <c r="AW418" i="1"/>
  <c r="AX418" i="1"/>
  <c r="AY418" i="1"/>
  <c r="AW419" i="1"/>
  <c r="AX419" i="1"/>
  <c r="AY419" i="1"/>
  <c r="AW420" i="1"/>
  <c r="AX420" i="1"/>
  <c r="AY420" i="1"/>
  <c r="AW421" i="1"/>
  <c r="AX421" i="1"/>
  <c r="AY421" i="1"/>
  <c r="AW422" i="1"/>
  <c r="AX422" i="1"/>
  <c r="AY422" i="1"/>
  <c r="AW423" i="1"/>
  <c r="AX423" i="1"/>
  <c r="AY423" i="1"/>
  <c r="AW424" i="1"/>
  <c r="AX424" i="1"/>
  <c r="AY424" i="1"/>
  <c r="AW425" i="1"/>
  <c r="AX425" i="1"/>
  <c r="AY425" i="1"/>
  <c r="AW426" i="1"/>
  <c r="AX426" i="1"/>
  <c r="AY426" i="1"/>
  <c r="AW427" i="1"/>
  <c r="AX427" i="1"/>
  <c r="AY427" i="1"/>
  <c r="AW428" i="1"/>
  <c r="AX428" i="1"/>
  <c r="AY428" i="1"/>
  <c r="AW429" i="1"/>
  <c r="AX429" i="1"/>
  <c r="AY429" i="1"/>
  <c r="AW430" i="1"/>
  <c r="AX430" i="1"/>
  <c r="AY430" i="1"/>
  <c r="AW431" i="1"/>
  <c r="AX431" i="1"/>
  <c r="AY431" i="1"/>
  <c r="AW432" i="1"/>
  <c r="AX432" i="1"/>
  <c r="AY432" i="1"/>
  <c r="AW433" i="1"/>
  <c r="AX433" i="1"/>
  <c r="AY433" i="1"/>
  <c r="AW434" i="1"/>
  <c r="AX434" i="1"/>
  <c r="AY434" i="1"/>
  <c r="AW435" i="1"/>
  <c r="AX435" i="1"/>
  <c r="AY435" i="1"/>
  <c r="AW436" i="1"/>
  <c r="AX436" i="1"/>
  <c r="AY436" i="1"/>
  <c r="AW437" i="1"/>
  <c r="AX437" i="1"/>
  <c r="AY437" i="1"/>
  <c r="AW438" i="1"/>
  <c r="AX438" i="1"/>
  <c r="AY438" i="1"/>
  <c r="AW439" i="1"/>
  <c r="AX439" i="1"/>
  <c r="AY439" i="1"/>
  <c r="AW440" i="1"/>
  <c r="AX440" i="1"/>
  <c r="AY440" i="1"/>
  <c r="AW441" i="1"/>
  <c r="AX441" i="1"/>
  <c r="AY441" i="1"/>
  <c r="AW442" i="1"/>
  <c r="AX442" i="1"/>
  <c r="AY442" i="1"/>
  <c r="AW443" i="1"/>
  <c r="AX443" i="1"/>
  <c r="AY443" i="1"/>
  <c r="AW444" i="1"/>
  <c r="AX444" i="1"/>
  <c r="AY444" i="1"/>
  <c r="AW445" i="1"/>
  <c r="AX445" i="1"/>
  <c r="AY445" i="1"/>
  <c r="AW446" i="1"/>
  <c r="AX446" i="1"/>
  <c r="AY446" i="1"/>
  <c r="AW447" i="1"/>
  <c r="AX447" i="1"/>
  <c r="AY447" i="1"/>
  <c r="AW448" i="1"/>
  <c r="AX448" i="1"/>
  <c r="AY448" i="1"/>
  <c r="AW449" i="1"/>
  <c r="AX449" i="1"/>
  <c r="AY449" i="1"/>
  <c r="AW450" i="1"/>
  <c r="AX450" i="1"/>
  <c r="AY450" i="1"/>
  <c r="AW451" i="1"/>
  <c r="AX451" i="1"/>
  <c r="AY451" i="1"/>
  <c r="AW452" i="1"/>
  <c r="AX452" i="1"/>
  <c r="AY452" i="1"/>
  <c r="AW453" i="1"/>
  <c r="AX453" i="1"/>
  <c r="AY453" i="1"/>
  <c r="AW454" i="1"/>
  <c r="AX454" i="1"/>
  <c r="AY454" i="1"/>
  <c r="AW455" i="1"/>
  <c r="AX455" i="1"/>
  <c r="AY455" i="1"/>
  <c r="AW456" i="1"/>
  <c r="AX456" i="1"/>
  <c r="AY456" i="1"/>
  <c r="AW457" i="1"/>
  <c r="AX457" i="1"/>
  <c r="AY457" i="1"/>
  <c r="AW458" i="1"/>
  <c r="AX458" i="1"/>
  <c r="AY458" i="1"/>
  <c r="AW459" i="1"/>
  <c r="AX459" i="1"/>
  <c r="AY459" i="1"/>
  <c r="AW460" i="1"/>
  <c r="AX460" i="1"/>
  <c r="AY460" i="1"/>
  <c r="AW461" i="1"/>
  <c r="AX461" i="1"/>
  <c r="AY461" i="1"/>
  <c r="AW462" i="1"/>
  <c r="AX462" i="1"/>
  <c r="AY462" i="1"/>
  <c r="AW463" i="1"/>
  <c r="AX463" i="1"/>
  <c r="AY463" i="1"/>
  <c r="AW464" i="1"/>
  <c r="AX464" i="1"/>
  <c r="AY464" i="1"/>
  <c r="AW465" i="1"/>
  <c r="AX465" i="1"/>
  <c r="AY465" i="1"/>
  <c r="AW466" i="1"/>
  <c r="AX466" i="1"/>
  <c r="AY466" i="1"/>
  <c r="AW467" i="1"/>
  <c r="AX467" i="1"/>
  <c r="AY467" i="1"/>
  <c r="AW468" i="1"/>
  <c r="AX468" i="1"/>
  <c r="AY468" i="1"/>
  <c r="AW469" i="1"/>
  <c r="AX469" i="1"/>
  <c r="AY469" i="1"/>
  <c r="AW470" i="1"/>
  <c r="AX470" i="1"/>
  <c r="AY470" i="1"/>
  <c r="AW471" i="1"/>
  <c r="AX471" i="1"/>
  <c r="AY471" i="1"/>
  <c r="AW472" i="1"/>
  <c r="AX472" i="1"/>
  <c r="AY472" i="1"/>
  <c r="AW473" i="1"/>
  <c r="AX473" i="1"/>
  <c r="AY473" i="1"/>
  <c r="AW474" i="1"/>
  <c r="AX474" i="1"/>
  <c r="AY474" i="1"/>
  <c r="AW475" i="1"/>
  <c r="AX475" i="1"/>
  <c r="AY475" i="1"/>
  <c r="AW476" i="1"/>
  <c r="AX476" i="1"/>
  <c r="AY476" i="1"/>
  <c r="AW477" i="1"/>
  <c r="AX477" i="1"/>
  <c r="AY477" i="1"/>
  <c r="AW478" i="1"/>
  <c r="AX478" i="1"/>
  <c r="AY478" i="1"/>
  <c r="AW479" i="1"/>
  <c r="AX479" i="1"/>
  <c r="AY479" i="1"/>
  <c r="AW480" i="1"/>
  <c r="AX480" i="1"/>
  <c r="AY480" i="1"/>
  <c r="AW481" i="1"/>
  <c r="AX481" i="1"/>
  <c r="AY481" i="1"/>
  <c r="AW482" i="1"/>
  <c r="AX482" i="1"/>
  <c r="AY482" i="1"/>
  <c r="AW483" i="1"/>
  <c r="AX483" i="1"/>
  <c r="AY483" i="1"/>
  <c r="AW484" i="1"/>
  <c r="AX484" i="1"/>
  <c r="AY484" i="1"/>
  <c r="AW485" i="1"/>
  <c r="AX485" i="1"/>
  <c r="AY485" i="1"/>
  <c r="AW486" i="1"/>
  <c r="AX486" i="1"/>
  <c r="AY486" i="1"/>
  <c r="AW487" i="1"/>
  <c r="AX487" i="1"/>
  <c r="AY487" i="1"/>
  <c r="AW488" i="1"/>
  <c r="AX488" i="1"/>
  <c r="AY488" i="1"/>
  <c r="AW489" i="1"/>
  <c r="AX489" i="1"/>
  <c r="AY489" i="1"/>
  <c r="AW490" i="1"/>
  <c r="AX490" i="1"/>
  <c r="AY490" i="1"/>
  <c r="AW491" i="1"/>
  <c r="AX491" i="1"/>
  <c r="AY491" i="1"/>
  <c r="AW492" i="1"/>
  <c r="AX492" i="1"/>
  <c r="AY492" i="1"/>
  <c r="AW493" i="1"/>
  <c r="AX493" i="1"/>
  <c r="AY493" i="1"/>
  <c r="AW494" i="1"/>
  <c r="AX494" i="1"/>
  <c r="AY494" i="1"/>
  <c r="AW495" i="1"/>
  <c r="AX495" i="1"/>
  <c r="AY495" i="1"/>
  <c r="AW496" i="1"/>
  <c r="AX496" i="1"/>
  <c r="AY496" i="1"/>
  <c r="AW497" i="1"/>
  <c r="AX497" i="1"/>
  <c r="AY497" i="1"/>
  <c r="AW498" i="1"/>
  <c r="AX498" i="1"/>
  <c r="AY498" i="1"/>
  <c r="AW499" i="1"/>
  <c r="AX499" i="1"/>
  <c r="AY499" i="1"/>
  <c r="AW500" i="1"/>
  <c r="AX500" i="1"/>
  <c r="AY500" i="1"/>
  <c r="AW501" i="1"/>
  <c r="AX501" i="1"/>
  <c r="AY501" i="1"/>
  <c r="AW502" i="1"/>
  <c r="AX502" i="1"/>
  <c r="AY502" i="1"/>
  <c r="AW503" i="1"/>
  <c r="AX503" i="1"/>
  <c r="AY503" i="1"/>
  <c r="AW504" i="1"/>
  <c r="AX504" i="1"/>
  <c r="AY504" i="1"/>
  <c r="AW505" i="1"/>
  <c r="AX505" i="1"/>
  <c r="AY505" i="1"/>
  <c r="AW506" i="1"/>
  <c r="AX506" i="1"/>
  <c r="AY506" i="1"/>
  <c r="AW507" i="1"/>
  <c r="AX507" i="1"/>
  <c r="AY507" i="1"/>
  <c r="AW508" i="1"/>
  <c r="AX508" i="1"/>
  <c r="AY508" i="1"/>
  <c r="AW509" i="1"/>
  <c r="AX509" i="1"/>
  <c r="AY509" i="1"/>
  <c r="AW510" i="1"/>
  <c r="AX510" i="1"/>
  <c r="AY510" i="1"/>
  <c r="AW511" i="1"/>
  <c r="AX511" i="1"/>
  <c r="AY511" i="1"/>
  <c r="AW512" i="1"/>
  <c r="AX512" i="1"/>
  <c r="AY512" i="1"/>
  <c r="AW513" i="1"/>
  <c r="AX513" i="1"/>
  <c r="AY513" i="1"/>
  <c r="AW514" i="1"/>
  <c r="AX514" i="1"/>
  <c r="AY514" i="1"/>
  <c r="AW515" i="1"/>
  <c r="AX515" i="1"/>
  <c r="AY515" i="1"/>
  <c r="AW516" i="1"/>
  <c r="AX516" i="1"/>
  <c r="AY516" i="1"/>
  <c r="AW517" i="1"/>
  <c r="AX517" i="1"/>
  <c r="AY517" i="1"/>
  <c r="AW518" i="1"/>
  <c r="AX518" i="1"/>
  <c r="AY518" i="1"/>
  <c r="AW519" i="1"/>
  <c r="AX519" i="1"/>
  <c r="AY519" i="1"/>
  <c r="AW520" i="1"/>
  <c r="AX520" i="1"/>
  <c r="AY520" i="1"/>
  <c r="AW521" i="1"/>
  <c r="AX521" i="1"/>
  <c r="AY521" i="1"/>
  <c r="AW522" i="1"/>
  <c r="AX522" i="1"/>
  <c r="AY522" i="1"/>
  <c r="AW523" i="1"/>
  <c r="AX523" i="1"/>
  <c r="AY523" i="1"/>
  <c r="AW524" i="1"/>
  <c r="AX524" i="1"/>
  <c r="AY524" i="1"/>
  <c r="AW525" i="1"/>
  <c r="AX525" i="1"/>
  <c r="AY525" i="1"/>
  <c r="AW526" i="1"/>
  <c r="AX526" i="1"/>
  <c r="AY526" i="1"/>
  <c r="AW527" i="1"/>
  <c r="AX527" i="1"/>
  <c r="AY527" i="1"/>
  <c r="AW528" i="1"/>
  <c r="AX528" i="1"/>
  <c r="AY528" i="1"/>
  <c r="AW529" i="1"/>
  <c r="AX529" i="1"/>
  <c r="AY529" i="1"/>
  <c r="AW530" i="1"/>
  <c r="AX530" i="1"/>
  <c r="AY530" i="1"/>
  <c r="AW531" i="1"/>
  <c r="AX531" i="1"/>
  <c r="AY531" i="1"/>
  <c r="AW532" i="1"/>
  <c r="AX532" i="1"/>
  <c r="AY532" i="1"/>
  <c r="AW533" i="1"/>
  <c r="AX533" i="1"/>
  <c r="AY533" i="1"/>
  <c r="AW534" i="1"/>
  <c r="AX534" i="1"/>
  <c r="AY534" i="1"/>
  <c r="AW535" i="1"/>
  <c r="AX535" i="1"/>
  <c r="AY535" i="1"/>
  <c r="AW536" i="1"/>
  <c r="AX536" i="1"/>
  <c r="AY536" i="1"/>
  <c r="AW537" i="1"/>
  <c r="AX537" i="1"/>
  <c r="AY537" i="1"/>
  <c r="AW538" i="1"/>
  <c r="AX538" i="1"/>
  <c r="AY538" i="1"/>
  <c r="AW539" i="1"/>
  <c r="AX539" i="1"/>
  <c r="AY539" i="1"/>
  <c r="AW540" i="1"/>
  <c r="AX540" i="1"/>
  <c r="AY540" i="1"/>
  <c r="AW541" i="1"/>
  <c r="AX541" i="1"/>
  <c r="AY541" i="1"/>
  <c r="AW542" i="1"/>
  <c r="AX542" i="1"/>
  <c r="AY542" i="1"/>
  <c r="AW543" i="1"/>
  <c r="AX543" i="1"/>
  <c r="AY543" i="1"/>
  <c r="AW544" i="1"/>
  <c r="AX544" i="1"/>
  <c r="AY544" i="1"/>
  <c r="AW545" i="1"/>
  <c r="AX545" i="1"/>
  <c r="AY545" i="1"/>
  <c r="AW546" i="1"/>
  <c r="AX546" i="1"/>
  <c r="AY546" i="1"/>
  <c r="AW547" i="1"/>
  <c r="AX547" i="1"/>
  <c r="AY547" i="1"/>
  <c r="AW548" i="1"/>
  <c r="AX548" i="1"/>
  <c r="AY548" i="1"/>
  <c r="AW549" i="1"/>
  <c r="AX549" i="1"/>
  <c r="AY549" i="1"/>
  <c r="AW550" i="1"/>
  <c r="AX550" i="1"/>
  <c r="AY550" i="1"/>
  <c r="AW551" i="1"/>
  <c r="AX551" i="1"/>
  <c r="AY551" i="1"/>
  <c r="AW552" i="1"/>
  <c r="AX552" i="1"/>
  <c r="AY552" i="1"/>
  <c r="AW553" i="1"/>
  <c r="AX553" i="1"/>
  <c r="AY553" i="1"/>
  <c r="AW554" i="1"/>
  <c r="AX554" i="1"/>
  <c r="AY554" i="1"/>
  <c r="AW555" i="1"/>
  <c r="AX555" i="1"/>
  <c r="AY555" i="1"/>
  <c r="AW556" i="1"/>
  <c r="AX556" i="1"/>
  <c r="AY556" i="1"/>
  <c r="AW557" i="1"/>
  <c r="AX557" i="1"/>
  <c r="AY557" i="1"/>
  <c r="AW558" i="1"/>
  <c r="AX558" i="1"/>
  <c r="AY558" i="1"/>
  <c r="AW559" i="1"/>
  <c r="AX559" i="1"/>
  <c r="AY559" i="1"/>
  <c r="AW560" i="1"/>
  <c r="AX560" i="1"/>
  <c r="AY560" i="1"/>
  <c r="AW561" i="1"/>
  <c r="AX561" i="1"/>
  <c r="AY561" i="1"/>
  <c r="AW562" i="1"/>
  <c r="AX562" i="1"/>
  <c r="AY562" i="1"/>
  <c r="P25" i="2" l="1"/>
  <c r="P26" i="2"/>
  <c r="P27" i="2"/>
  <c r="P28" i="2"/>
  <c r="P29" i="2"/>
  <c r="P30" i="2"/>
  <c r="P24" i="2"/>
  <c r="E25" i="2"/>
  <c r="E26" i="2"/>
  <c r="E27" i="2"/>
  <c r="E28" i="2"/>
  <c r="E29" i="2"/>
  <c r="E30" i="2"/>
  <c r="E24" i="2"/>
  <c r="K25" i="2"/>
  <c r="K26" i="2"/>
  <c r="K27" i="2"/>
  <c r="K28" i="2"/>
  <c r="K29" i="2"/>
  <c r="K30" i="2"/>
  <c r="K24" i="2"/>
  <c r="O30" i="2"/>
  <c r="N30" i="2"/>
  <c r="M30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J24" i="2"/>
  <c r="I24" i="2"/>
  <c r="H24" i="2"/>
  <c r="G24" i="2"/>
  <c r="F24" i="2"/>
  <c r="D24" i="2"/>
  <c r="C24" i="2"/>
  <c r="B24" i="2"/>
  <c r="P31" i="2" l="1"/>
  <c r="E31" i="2"/>
  <c r="N31" i="2"/>
  <c r="K31" i="2"/>
  <c r="O31" i="2"/>
  <c r="M31" i="2"/>
  <c r="H36" i="2"/>
  <c r="H37" i="2"/>
  <c r="H38" i="2"/>
  <c r="H39" i="2"/>
  <c r="H40" i="2"/>
  <c r="H41" i="2"/>
  <c r="H35" i="2"/>
  <c r="D8" i="2"/>
  <c r="E8" i="2" s="1"/>
  <c r="C8" i="2"/>
  <c r="H42" i="2" l="1"/>
  <c r="G36" i="2" l="1"/>
  <c r="G37" i="2"/>
  <c r="G38" i="2"/>
  <c r="G39" i="2"/>
  <c r="G40" i="2"/>
  <c r="G41" i="2"/>
  <c r="G35" i="2"/>
  <c r="D7" i="2" l="1"/>
  <c r="E7" i="2" s="1"/>
  <c r="C7" i="2"/>
  <c r="C3" i="2"/>
  <c r="C4" i="2"/>
  <c r="C5" i="2"/>
  <c r="C6" i="2"/>
  <c r="F36" i="2" l="1"/>
  <c r="E36" i="2"/>
  <c r="D36" i="2"/>
  <c r="C36" i="2"/>
  <c r="B36" i="2"/>
  <c r="L25" i="2"/>
  <c r="J25" i="2"/>
  <c r="I25" i="2"/>
  <c r="H25" i="2"/>
  <c r="G25" i="2"/>
  <c r="F25" i="2"/>
  <c r="D25" i="2"/>
  <c r="C25" i="2"/>
  <c r="B25" i="2"/>
  <c r="L14" i="2"/>
  <c r="K14" i="2"/>
  <c r="J14" i="2"/>
  <c r="I14" i="2"/>
  <c r="H14" i="2"/>
  <c r="G14" i="2"/>
  <c r="F14" i="2"/>
  <c r="E14" i="2"/>
  <c r="D14" i="2"/>
  <c r="C14" i="2"/>
  <c r="B14" i="2"/>
  <c r="Q25" i="2" l="1"/>
  <c r="I36" i="2"/>
  <c r="M14" i="2"/>
  <c r="F37" i="2"/>
  <c r="F38" i="2"/>
  <c r="F39" i="2"/>
  <c r="F40" i="2"/>
  <c r="F41" i="2"/>
  <c r="E40" i="2"/>
  <c r="E41" i="2"/>
  <c r="E37" i="2"/>
  <c r="E38" i="2"/>
  <c r="E39" i="2"/>
  <c r="D37" i="2"/>
  <c r="D38" i="2"/>
  <c r="D39" i="2"/>
  <c r="D40" i="2"/>
  <c r="D41" i="2"/>
  <c r="C37" i="2"/>
  <c r="C38" i="2"/>
  <c r="C39" i="2"/>
  <c r="C40" i="2"/>
  <c r="C41" i="2"/>
  <c r="B37" i="2"/>
  <c r="I37" i="2" s="1"/>
  <c r="B38" i="2"/>
  <c r="B39" i="2"/>
  <c r="B40" i="2"/>
  <c r="B41" i="2"/>
  <c r="I41" i="2" s="1"/>
  <c r="F35" i="2"/>
  <c r="E35" i="2"/>
  <c r="D35" i="2"/>
  <c r="C35" i="2"/>
  <c r="B35" i="2"/>
  <c r="L26" i="2"/>
  <c r="L27" i="2"/>
  <c r="L28" i="2"/>
  <c r="L29" i="2"/>
  <c r="L30" i="2"/>
  <c r="J26" i="2"/>
  <c r="J27" i="2"/>
  <c r="J28" i="2"/>
  <c r="J29" i="2"/>
  <c r="J30" i="2"/>
  <c r="I30" i="2"/>
  <c r="I26" i="2"/>
  <c r="I27" i="2"/>
  <c r="I28" i="2"/>
  <c r="I29" i="2"/>
  <c r="H26" i="2"/>
  <c r="H27" i="2"/>
  <c r="H28" i="2"/>
  <c r="H29" i="2"/>
  <c r="H30" i="2"/>
  <c r="F26" i="2"/>
  <c r="F27" i="2"/>
  <c r="F28" i="2"/>
  <c r="F29" i="2"/>
  <c r="F30" i="2"/>
  <c r="G26" i="2"/>
  <c r="G27" i="2"/>
  <c r="G28" i="2"/>
  <c r="G29" i="2"/>
  <c r="G30" i="2"/>
  <c r="D30" i="2"/>
  <c r="D26" i="2"/>
  <c r="D27" i="2"/>
  <c r="D28" i="2"/>
  <c r="D29" i="2"/>
  <c r="C26" i="2"/>
  <c r="C27" i="2"/>
  <c r="C28" i="2"/>
  <c r="C29" i="2"/>
  <c r="C30" i="2"/>
  <c r="B26" i="2"/>
  <c r="B27" i="2"/>
  <c r="B28" i="2"/>
  <c r="B29" i="2"/>
  <c r="B30" i="2"/>
  <c r="L24" i="2"/>
  <c r="Q24" i="2" s="1"/>
  <c r="Q28" i="2" l="1"/>
  <c r="I40" i="2"/>
  <c r="Q26" i="2"/>
  <c r="Q30" i="2"/>
  <c r="Q27" i="2"/>
  <c r="Q29" i="2"/>
  <c r="I39" i="2"/>
  <c r="I35" i="2"/>
  <c r="I38" i="2"/>
  <c r="L15" i="2"/>
  <c r="L16" i="2"/>
  <c r="L17" i="2"/>
  <c r="L18" i="2"/>
  <c r="L19" i="2"/>
  <c r="K15" i="2"/>
  <c r="K16" i="2"/>
  <c r="K17" i="2"/>
  <c r="K18" i="2"/>
  <c r="K19" i="2"/>
  <c r="J15" i="2"/>
  <c r="J16" i="2"/>
  <c r="J17" i="2"/>
  <c r="J18" i="2"/>
  <c r="J19" i="2"/>
  <c r="I15" i="2"/>
  <c r="I16" i="2"/>
  <c r="I17" i="2"/>
  <c r="I18" i="2"/>
  <c r="I19" i="2"/>
  <c r="H15" i="2"/>
  <c r="H16" i="2"/>
  <c r="H17" i="2"/>
  <c r="H18" i="2"/>
  <c r="H19" i="2"/>
  <c r="G15" i="2"/>
  <c r="G16" i="2"/>
  <c r="G17" i="2"/>
  <c r="G18" i="2"/>
  <c r="G19" i="2"/>
  <c r="F15" i="2"/>
  <c r="F16" i="2"/>
  <c r="F17" i="2"/>
  <c r="F18" i="2"/>
  <c r="F19" i="2"/>
  <c r="E15" i="2"/>
  <c r="E16" i="2"/>
  <c r="E17" i="2"/>
  <c r="E18" i="2"/>
  <c r="E19" i="2"/>
  <c r="D15" i="2"/>
  <c r="D16" i="2"/>
  <c r="D17" i="2"/>
  <c r="D18" i="2"/>
  <c r="D19" i="2"/>
  <c r="L13" i="2"/>
  <c r="K13" i="2"/>
  <c r="J13" i="2"/>
  <c r="I13" i="2"/>
  <c r="H13" i="2"/>
  <c r="G13" i="2"/>
  <c r="F13" i="2"/>
  <c r="E13" i="2"/>
  <c r="D13" i="2"/>
  <c r="C15" i="2"/>
  <c r="C16" i="2"/>
  <c r="C17" i="2"/>
  <c r="C18" i="2"/>
  <c r="C19" i="2"/>
  <c r="C13" i="2"/>
  <c r="B15" i="2"/>
  <c r="B16" i="2"/>
  <c r="B17" i="2"/>
  <c r="B18" i="2"/>
  <c r="B19" i="2"/>
  <c r="B13" i="2"/>
  <c r="D6" i="2"/>
  <c r="D5" i="2"/>
  <c r="D4" i="2"/>
  <c r="D3" i="2"/>
  <c r="D2" i="2"/>
  <c r="C2" i="2"/>
  <c r="D9" i="2" l="1"/>
  <c r="Q31" i="2"/>
  <c r="I42" i="2"/>
  <c r="G42" i="2"/>
  <c r="C42" i="2"/>
  <c r="D42" i="2"/>
  <c r="E42" i="2"/>
  <c r="F42" i="2"/>
  <c r="B42" i="2"/>
  <c r="C31" i="2"/>
  <c r="D31" i="2"/>
  <c r="F31" i="2"/>
  <c r="G31" i="2"/>
  <c r="H31" i="2"/>
  <c r="I31" i="2"/>
  <c r="J31" i="2"/>
  <c r="L31" i="2"/>
  <c r="B31" i="2"/>
  <c r="M15" i="2"/>
  <c r="M16" i="2"/>
  <c r="M17" i="2"/>
  <c r="M18" i="2"/>
  <c r="M19" i="2"/>
  <c r="D20" i="2"/>
  <c r="E20" i="2"/>
  <c r="F20" i="2"/>
  <c r="G20" i="2"/>
  <c r="H20" i="2"/>
  <c r="I20" i="2"/>
  <c r="J20" i="2"/>
  <c r="K20" i="2"/>
  <c r="L20" i="2"/>
  <c r="B20" i="2"/>
  <c r="C20" i="2"/>
  <c r="E2" i="2"/>
  <c r="M13" i="2" l="1"/>
  <c r="M20" i="2" s="1"/>
  <c r="E6" i="2" l="1"/>
  <c r="E5" i="2"/>
  <c r="E4" i="2"/>
  <c r="E3" i="2"/>
  <c r="E9" i="2" s="1"/>
  <c r="F7" i="2" l="1"/>
  <c r="F8" i="2"/>
  <c r="F2" i="2"/>
  <c r="F3" i="2"/>
  <c r="F4" i="2"/>
  <c r="F6" i="2"/>
  <c r="F5" i="2"/>
  <c r="F9" i="2" l="1"/>
</calcChain>
</file>

<file path=xl/sharedStrings.xml><?xml version="1.0" encoding="utf-8"?>
<sst xmlns="http://schemas.openxmlformats.org/spreadsheetml/2006/main" count="3712" uniqueCount="1460">
  <si>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</si>
  <si>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</si>
  <si>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</si>
  <si>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</si>
  <si>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</si>
  <si>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</si>
  <si>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</si>
  <si>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</si>
  <si>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</si>
  <si>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</si>
  <si>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</si>
  <si>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</si>
  <si>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</si>
  <si>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</si>
  <si>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</si>
  <si>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</si>
  <si>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</si>
  <si>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</si>
  <si>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</si>
  <si>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</si>
  <si>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</si>
  <si>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</si>
  <si>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</si>
  <si>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</si>
  <si>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</si>
  <si>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</si>
  <si>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</si>
  <si>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</si>
  <si>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</si>
  <si>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</si>
  <si>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</si>
  <si>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</si>
  <si>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</si>
  <si>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</si>
  <si>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</si>
  <si>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</si>
  <si>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</si>
  <si>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</si>
  <si>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</si>
  <si>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</si>
  <si>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</si>
  <si>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</si>
  <si>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</si>
  <si>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</si>
  <si>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</si>
  <si>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</si>
  <si>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</si>
  <si>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</si>
  <si>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</si>
  <si>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</si>
  <si>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</si>
  <si>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</si>
  <si>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</si>
  <si>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</si>
  <si>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</si>
  <si>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</si>
  <si>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</si>
  <si>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</si>
  <si>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</si>
  <si>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</si>
  <si>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</si>
  <si>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</si>
  <si>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</si>
  <si>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</si>
  <si>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</si>
  <si>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</si>
  <si>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</si>
  <si>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</si>
  <si>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</si>
  <si>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</si>
  <si>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</si>
  <si>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</si>
  <si>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</si>
  <si>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</si>
  <si>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</si>
  <si>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</si>
  <si>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</si>
  <si>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</si>
  <si>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Falluja</t>
  </si>
  <si>
    <t>IQ-G01</t>
  </si>
  <si>
    <t>IQ-D002</t>
  </si>
  <si>
    <t>حي الوحدة</t>
  </si>
  <si>
    <t>Heet</t>
  </si>
  <si>
    <t>Abu Tibban</t>
  </si>
  <si>
    <t>ابوطيبان</t>
  </si>
  <si>
    <t>IQ-D004</t>
  </si>
  <si>
    <t>IQ-P00234</t>
  </si>
  <si>
    <t>Al Shuqaq</t>
  </si>
  <si>
    <t>الشقق</t>
  </si>
  <si>
    <t>IQ-P00248</t>
  </si>
  <si>
    <t>Al-muabdiyat</t>
  </si>
  <si>
    <t>المعبديات</t>
  </si>
  <si>
    <t>IQ-P00258</t>
  </si>
  <si>
    <t>Al-Qalqalah</t>
  </si>
  <si>
    <t xml:space="preserve">القلقة </t>
  </si>
  <si>
    <t>IQ-P00261</t>
  </si>
  <si>
    <t>Basair</t>
  </si>
  <si>
    <t xml:space="preserve">البصائر </t>
  </si>
  <si>
    <t>IQ-P00270</t>
  </si>
  <si>
    <t>Hay Al Farouq</t>
  </si>
  <si>
    <t>حي الفاروق</t>
  </si>
  <si>
    <t>IQ-P00278</t>
  </si>
  <si>
    <t>Hay al Jury</t>
  </si>
  <si>
    <t>الجري</t>
  </si>
  <si>
    <t>IQ-P00281</t>
  </si>
  <si>
    <t xml:space="preserve">حي المامون </t>
  </si>
  <si>
    <t>IQ-P00283</t>
  </si>
  <si>
    <t>Hay Al-Askari</t>
  </si>
  <si>
    <t>الحي العسكري</t>
  </si>
  <si>
    <t>Hay Al-Jabal</t>
  </si>
  <si>
    <t xml:space="preserve">الجبل </t>
  </si>
  <si>
    <t>IQ-P00289</t>
  </si>
  <si>
    <t>الجمعية الثانية</t>
  </si>
  <si>
    <t>IQ-P00291</t>
  </si>
  <si>
    <t>Hay Al-Khudhir</t>
  </si>
  <si>
    <t>الخضر</t>
  </si>
  <si>
    <t>Hay Al-Qadisiyah</t>
  </si>
  <si>
    <t>القادسية</t>
  </si>
  <si>
    <t>IQ-P00293</t>
  </si>
  <si>
    <t>Hay Al-Sadiq</t>
  </si>
  <si>
    <t>حي الصديق</t>
  </si>
  <si>
    <t>Hay Al-Zuhoor</t>
  </si>
  <si>
    <t>حي الزهور</t>
  </si>
  <si>
    <t>IQ-P00299</t>
  </si>
  <si>
    <t>المصخن</t>
  </si>
  <si>
    <t>IQ-P00319</t>
  </si>
  <si>
    <t>الحي الصناعي</t>
  </si>
  <si>
    <t>IQ-P00307</t>
  </si>
  <si>
    <t>Kubaisa Al-qadimah</t>
  </si>
  <si>
    <t>كبيسة القديمة</t>
  </si>
  <si>
    <t>IQ-P00312</t>
  </si>
  <si>
    <t>Mualmeen</t>
  </si>
  <si>
    <t>المعلمين</t>
  </si>
  <si>
    <t>IQ-P00320</t>
  </si>
  <si>
    <t>The first jamaiya</t>
  </si>
  <si>
    <t>الجمعية الاولى</t>
  </si>
  <si>
    <t>IQ-P00341</t>
  </si>
  <si>
    <t>Ramadi</t>
  </si>
  <si>
    <t>حي 8 شباط</t>
  </si>
  <si>
    <t>IQ-D006</t>
  </si>
  <si>
    <t>الخلفاء</t>
  </si>
  <si>
    <t>Al Soora</t>
  </si>
  <si>
    <t>السورة</t>
  </si>
  <si>
    <t>الجمعية</t>
  </si>
  <si>
    <t>IQ-P00452</t>
  </si>
  <si>
    <t>Al-Sadiqiyah</t>
  </si>
  <si>
    <t xml:space="preserve">الصديقية </t>
  </si>
  <si>
    <t>IQ-P00459</t>
  </si>
  <si>
    <t>Al-Shareka</t>
  </si>
  <si>
    <t>الشركة</t>
  </si>
  <si>
    <t>IQ-P00462</t>
  </si>
  <si>
    <t>الشهداء</t>
  </si>
  <si>
    <t>IQ-P00463</t>
  </si>
  <si>
    <t>البوعلوان</t>
  </si>
  <si>
    <t>Hay Al-Madani</t>
  </si>
  <si>
    <t xml:space="preserve">الحي المدني </t>
  </si>
  <si>
    <t>IQ-P00480</t>
  </si>
  <si>
    <t xml:space="preserve">حصيبة الشرقية </t>
  </si>
  <si>
    <t>IQ-P00487</t>
  </si>
  <si>
    <t>جويبة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</si>
  <si>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</si>
  <si>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</si>
  <si>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</si>
  <si>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</si>
  <si>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</si>
  <si>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</si>
  <si>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</si>
  <si>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Abu Ghraib</t>
  </si>
  <si>
    <t xml:space="preserve">Adel Hrat village </t>
  </si>
  <si>
    <t>قرية عادل هراط</t>
  </si>
  <si>
    <t>IQ-G07</t>
  </si>
  <si>
    <t>IQ-D038</t>
  </si>
  <si>
    <t>قرية البو معيد</t>
  </si>
  <si>
    <t>Al Hamadan village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</si>
  <si>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</si>
  <si>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</si>
  <si>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</si>
  <si>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</si>
  <si>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</si>
  <si>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</si>
  <si>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</si>
  <si>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Al shaneter village</t>
  </si>
  <si>
    <t>Al Zahalya village</t>
  </si>
  <si>
    <t>قرية الزحالية</t>
  </si>
  <si>
    <t xml:space="preserve">Maskor village </t>
  </si>
  <si>
    <t>Yassen Al Mutlk village</t>
  </si>
  <si>
    <t>Kadhimia</t>
  </si>
  <si>
    <t>IQ-D040</t>
  </si>
  <si>
    <t>Sabea Al Buor-14000</t>
  </si>
  <si>
    <t>Sabea Al Buor-4000</t>
  </si>
  <si>
    <t>Sabea Al Buor-5000</t>
  </si>
  <si>
    <t>IQ-P08439</t>
  </si>
  <si>
    <t>Sabea Al Buor-8000</t>
  </si>
  <si>
    <t>IQ-P08438</t>
  </si>
  <si>
    <t>IQ-P08437</t>
  </si>
  <si>
    <t>Mahmoudiya</t>
  </si>
  <si>
    <t>IQ-D043</t>
  </si>
  <si>
    <t xml:space="preserve">Al bu Khdear village </t>
  </si>
  <si>
    <t xml:space="preserve">قرية البو خضير 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</si>
  <si>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</si>
  <si>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</si>
  <si>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</si>
  <si>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</si>
  <si>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</si>
  <si>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</si>
  <si>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</si>
  <si>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</si>
  <si>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كيلو 32</t>
  </si>
  <si>
    <t>IQ-P08837</t>
  </si>
  <si>
    <t>IQ-P08838</t>
  </si>
  <si>
    <t xml:space="preserve">Shbesha Village </t>
  </si>
  <si>
    <t>Al-Khalis</t>
  </si>
  <si>
    <t>مركز ناحية العظيم</t>
  </si>
  <si>
    <t>IQ-G10</t>
  </si>
  <si>
    <t>IQ-D059</t>
  </si>
  <si>
    <t>Al Batat village</t>
  </si>
  <si>
    <t>قرية البطاط</t>
  </si>
  <si>
    <t>قرية البو شريح</t>
  </si>
  <si>
    <t>Al Darawish village</t>
  </si>
  <si>
    <t>قرية الدراويش</t>
  </si>
  <si>
    <t>Al Hamel Vellage</t>
  </si>
  <si>
    <t>قرية الحمل</t>
  </si>
  <si>
    <t>Al Hataween village</t>
  </si>
  <si>
    <t>قرية الهتاوين</t>
  </si>
  <si>
    <t>IQ-P12539</t>
  </si>
  <si>
    <t>Al Jardaniya village</t>
  </si>
  <si>
    <t>قرية الجردانية</t>
  </si>
  <si>
    <t>قرية الخلفاء</t>
  </si>
  <si>
    <t>IQ-P12549</t>
  </si>
  <si>
    <t>قرية القلعة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</si>
  <si>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</si>
  <si>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</si>
  <si>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</si>
  <si>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</si>
  <si>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</si>
  <si>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</si>
  <si>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</si>
  <si>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IQ-P12417</t>
  </si>
  <si>
    <t>Al Shalahmaa Village</t>
  </si>
  <si>
    <t>قرية الشلاهمة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</si>
  <si>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</si>
  <si>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</si>
  <si>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</si>
  <si>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</si>
  <si>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</si>
  <si>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قرية الاقصى</t>
  </si>
  <si>
    <t>قرية العرابضة</t>
  </si>
  <si>
    <t>قرية بزايز شروين</t>
  </si>
  <si>
    <t>قرية الدواليب</t>
  </si>
  <si>
    <t>قرية المكاريين</t>
  </si>
  <si>
    <t>قرية المرفوع</t>
  </si>
  <si>
    <t>قرية المشروع</t>
  </si>
  <si>
    <t>قرية السادة</t>
  </si>
  <si>
    <t>Albo Elaywi village</t>
  </si>
  <si>
    <t>قرية البو عليوي</t>
  </si>
  <si>
    <t>Albo Hassoni village</t>
  </si>
  <si>
    <t>قرية البوحسوني</t>
  </si>
  <si>
    <t>قرية البو عبادة</t>
  </si>
  <si>
    <t>Albo Nagem Village</t>
  </si>
  <si>
    <t>قرية البو نجم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</si>
  <si>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</si>
  <si>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</si>
  <si>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</si>
  <si>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</si>
  <si>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</si>
  <si>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</si>
  <si>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</si>
  <si>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</si>
  <si>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</si>
  <si>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</si>
  <si>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قرية علي العبد الله</t>
  </si>
  <si>
    <t>قرية علوان الحديد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</si>
  <si>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</si>
  <si>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</si>
  <si>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</si>
  <si>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</si>
  <si>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</si>
  <si>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</si>
  <si>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</si>
  <si>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قرية البيات</t>
  </si>
  <si>
    <t>قرية بزايز المشروع</t>
  </si>
  <si>
    <t>قرية داوود السلوم</t>
  </si>
  <si>
    <t>قرية دواليب الامام</t>
  </si>
  <si>
    <t>Ein Layla village</t>
  </si>
  <si>
    <t>قرية عين ليلى</t>
  </si>
  <si>
    <t>قرية حبيب العبدالله</t>
  </si>
  <si>
    <t>قرية حبيب الخيزران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</si>
  <si>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</si>
  <si>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</si>
  <si>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</si>
  <si>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</si>
  <si>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</si>
  <si>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قرية حسن ضايع</t>
  </si>
  <si>
    <t>حي الضباط</t>
  </si>
  <si>
    <t>حي المعلمين</t>
  </si>
  <si>
    <t>حي الشهداء</t>
  </si>
  <si>
    <t>قرية جضيف</t>
  </si>
  <si>
    <t>قرية خان القرصة</t>
  </si>
  <si>
    <t>IQ-P12577</t>
  </si>
  <si>
    <t>منصورية الجبل</t>
  </si>
  <si>
    <t>Mijbas village</t>
  </si>
  <si>
    <t>قرية مجباس</t>
  </si>
  <si>
    <t>قرية محمد العلي</t>
  </si>
  <si>
    <t>قرية محمد طه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</si>
  <si>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</si>
  <si>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</si>
  <si>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</si>
  <si>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</si>
  <si>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</si>
  <si>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</si>
  <si>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</si>
  <si>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</si>
  <si>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</si>
  <si>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</si>
  <si>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</si>
  <si>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</si>
  <si>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</si>
  <si>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</si>
  <si>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</si>
  <si>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</si>
  <si>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</si>
  <si>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</si>
  <si>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</si>
  <si>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</si>
  <si>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</si>
  <si>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ابو دهن</t>
  </si>
  <si>
    <t>IQ-D062</t>
  </si>
  <si>
    <t>IQ-P13323</t>
  </si>
  <si>
    <t>Abu musa village</t>
  </si>
  <si>
    <t>قرية ابو موسى</t>
  </si>
  <si>
    <t>قرية العالي</t>
  </si>
  <si>
    <t>Al-Arda village</t>
  </si>
  <si>
    <t>قرية العردة</t>
  </si>
  <si>
    <t>قرية الدرويش</t>
  </si>
  <si>
    <t>قرية الحمادي</t>
  </si>
  <si>
    <t>قرية العكيدات</t>
  </si>
  <si>
    <t>قرية الكوام</t>
  </si>
  <si>
    <t>قرية اللهيب</t>
  </si>
  <si>
    <t>قرية الميثاق</t>
  </si>
  <si>
    <t>IQ-P13274</t>
  </si>
  <si>
    <t>IQ-P13183</t>
  </si>
  <si>
    <t>قرية الصخر</t>
  </si>
  <si>
    <t>IQ-P13316</t>
  </si>
  <si>
    <t>قرية الشيخة</t>
  </si>
  <si>
    <t>الصدور</t>
  </si>
  <si>
    <t>IQ-P13239</t>
  </si>
  <si>
    <t>حي الصمود</t>
  </si>
  <si>
    <t>IQ-P13302</t>
  </si>
  <si>
    <t>قرية العقود</t>
  </si>
  <si>
    <t>قرية الوزان</t>
  </si>
  <si>
    <t>قرية بلور</t>
  </si>
  <si>
    <t>Haj fadhil village</t>
  </si>
  <si>
    <t>Hamada village</t>
  </si>
  <si>
    <t>قرية حمادة</t>
  </si>
  <si>
    <t>حي الكرامة</t>
  </si>
  <si>
    <t>حي المطار</t>
  </si>
  <si>
    <t>حي النور</t>
  </si>
  <si>
    <t>حي السوق</t>
  </si>
  <si>
    <t>حي العروبة</t>
  </si>
  <si>
    <t>قرية حمبس</t>
  </si>
  <si>
    <t>قرية امام طالب</t>
  </si>
  <si>
    <t>IQ-P13310</t>
  </si>
  <si>
    <t>Izham village</t>
  </si>
  <si>
    <t>Jubtin village</t>
  </si>
  <si>
    <t>قرية جبتين</t>
  </si>
  <si>
    <t>محلة دور الضباط</t>
  </si>
  <si>
    <t>IQ-P13266</t>
  </si>
  <si>
    <t>قرية نهر الشيخ</t>
  </si>
  <si>
    <t>Nofal village</t>
  </si>
  <si>
    <t>قرية نوفل</t>
  </si>
  <si>
    <t>Parwana village</t>
  </si>
  <si>
    <t>قرية بروانة</t>
  </si>
  <si>
    <t>قرية شاق الراق</t>
  </si>
  <si>
    <t>Shamarkhi village</t>
  </si>
  <si>
    <t>قرية شمرخي</t>
  </si>
  <si>
    <t>قرية شوك الريم</t>
  </si>
  <si>
    <t>IQ-P13338</t>
  </si>
  <si>
    <t>قرية سنسل الوسط</t>
  </si>
  <si>
    <t>Skheyr village</t>
  </si>
  <si>
    <t>قرية سخير</t>
  </si>
  <si>
    <t>صدور الري</t>
  </si>
  <si>
    <t>قرية ولوش 1</t>
  </si>
  <si>
    <t>قرية ولوش 2</t>
  </si>
  <si>
    <t>Khanaqin</t>
  </si>
  <si>
    <t>17Tamooz Qtr</t>
  </si>
  <si>
    <t>حي 17 تموز</t>
  </si>
  <si>
    <t>IQ-D060</t>
  </si>
  <si>
    <t>Al Salaam Qtr</t>
  </si>
  <si>
    <t>حي السلام</t>
  </si>
  <si>
    <t>حي التاخي</t>
  </si>
  <si>
    <t>الحي العصري</t>
  </si>
  <si>
    <t>قرية الحصيني</t>
  </si>
  <si>
    <t>حي الربيع الثالثة</t>
  </si>
  <si>
    <t>حي الربيع الثانية</t>
  </si>
  <si>
    <t>حي الطليعة 2</t>
  </si>
  <si>
    <t>حي الطليعة</t>
  </si>
  <si>
    <t>حي الخضراء</t>
  </si>
  <si>
    <t>حي الاسراء</t>
  </si>
  <si>
    <t xml:space="preserve">حي سعد 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</si>
  <si>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</si>
  <si>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</si>
  <si>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</si>
  <si>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</si>
  <si>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</si>
  <si>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</si>
  <si>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قرية النظام</t>
  </si>
  <si>
    <t>IQ-D061</t>
  </si>
  <si>
    <t>Makhmur</t>
  </si>
  <si>
    <t>Bnari Qara chogh</t>
  </si>
  <si>
    <t>بناري قه ره جوغ</t>
  </si>
  <si>
    <t>IQ-G11</t>
  </si>
  <si>
    <t>IQ-D066</t>
  </si>
  <si>
    <t>Bndiyan</t>
  </si>
  <si>
    <t>بنديان</t>
  </si>
  <si>
    <t>IQ-P14198</t>
  </si>
  <si>
    <t>Farmanbaran</t>
  </si>
  <si>
    <t>فرمانبران</t>
  </si>
  <si>
    <t>IQ-P14254</t>
  </si>
  <si>
    <t xml:space="preserve">Kurdistan </t>
  </si>
  <si>
    <t xml:space="preserve">كوردستان </t>
  </si>
  <si>
    <t>IQ-P14404</t>
  </si>
  <si>
    <t>Qalat</t>
  </si>
  <si>
    <t>قلات</t>
  </si>
  <si>
    <t>IQ-P14478</t>
  </si>
  <si>
    <t>Saray(markez bazar)</t>
  </si>
  <si>
    <t>Shahidan</t>
  </si>
  <si>
    <t>شهيدان</t>
  </si>
  <si>
    <t>IQ-P14545</t>
  </si>
  <si>
    <t>Sherwany</t>
  </si>
  <si>
    <t>شيرواني</t>
  </si>
  <si>
    <t>IQ-P14558</t>
  </si>
  <si>
    <t>قرية الهندية</t>
  </si>
  <si>
    <t>IQ-G13</t>
  </si>
  <si>
    <t>IQ-D076</t>
  </si>
  <si>
    <t>Idris khabbaz</t>
  </si>
  <si>
    <t>ادريس خباز</t>
  </si>
  <si>
    <t>IQ-P17633</t>
  </si>
  <si>
    <t>ادريس خزعل</t>
  </si>
  <si>
    <t>IQ-P17354</t>
  </si>
  <si>
    <t>Mala Abdullah village</t>
  </si>
  <si>
    <t xml:space="preserve">قرية ملا عبدالله 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</si>
  <si>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</si>
  <si>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</si>
  <si>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</si>
  <si>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</si>
  <si>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</si>
  <si>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</si>
  <si>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</si>
  <si>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</si>
  <si>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</si>
  <si>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</si>
  <si>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</si>
  <si>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</si>
  <si>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</si>
  <si>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</si>
  <si>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</si>
  <si>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</si>
  <si>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</si>
  <si>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</si>
  <si>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</si>
  <si>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Bayevok</t>
  </si>
  <si>
    <t>بايفوك</t>
  </si>
  <si>
    <t>Bir Adam</t>
  </si>
  <si>
    <t>بير ادم</t>
  </si>
  <si>
    <t>IQ-P20588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</si>
  <si>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</si>
  <si>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</si>
  <si>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</si>
  <si>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</si>
  <si>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</si>
  <si>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</si>
  <si>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</si>
  <si>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</si>
  <si>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</si>
  <si>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</si>
  <si>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</si>
  <si>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</si>
  <si>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</si>
  <si>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</si>
  <si>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</si>
  <si>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</si>
  <si>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</si>
  <si>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</si>
  <si>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</si>
  <si>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</si>
  <si>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 xml:space="preserve">Karsi </t>
  </si>
  <si>
    <t>كرسي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</si>
  <si>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</si>
  <si>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</si>
  <si>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</si>
  <si>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</si>
  <si>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</si>
  <si>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</si>
  <si>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</si>
  <si>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</si>
  <si>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</si>
  <si>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</si>
  <si>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</si>
  <si>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</si>
  <si>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</si>
  <si>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</si>
  <si>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</si>
  <si>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</si>
  <si>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</si>
  <si>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</si>
  <si>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</si>
  <si>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</si>
  <si>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</si>
  <si>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</si>
  <si>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</si>
  <si>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</si>
  <si>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</si>
  <si>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</si>
  <si>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</si>
  <si>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>Telafar</t>
  </si>
  <si>
    <t>قرية ابو حجيرة</t>
  </si>
  <si>
    <t>IQ-D090</t>
  </si>
  <si>
    <t>IQ-P20689</t>
  </si>
  <si>
    <t>قرية البوثة</t>
  </si>
  <si>
    <t>قرية عوينات</t>
  </si>
  <si>
    <t>قرية كرصور</t>
  </si>
  <si>
    <t>قرية صالحية الراوية</t>
  </si>
  <si>
    <t>Abtakh</t>
  </si>
  <si>
    <t>IQ-P20685</t>
  </si>
  <si>
    <t>abu khushub</t>
  </si>
  <si>
    <t>IQ-P20690</t>
  </si>
  <si>
    <t>قرية عين حلوة العليا</t>
  </si>
  <si>
    <t>IQ-P20701</t>
  </si>
  <si>
    <t>مجمع برديه</t>
  </si>
  <si>
    <t>IQ-P20730</t>
  </si>
  <si>
    <t>قرية بئر عكلة</t>
  </si>
  <si>
    <t>عين عويس</t>
  </si>
  <si>
    <t>Ein Alhilwa</t>
  </si>
  <si>
    <t>قرية عين الحلوة</t>
  </si>
  <si>
    <t>قرية عين جحيشية</t>
  </si>
  <si>
    <t>Fakerok</t>
  </si>
  <si>
    <t>قرية فقيروك</t>
  </si>
  <si>
    <t>IQ-P20754</t>
  </si>
  <si>
    <t>قرية جلبارات</t>
  </si>
  <si>
    <t>Hamd Agha Village</t>
  </si>
  <si>
    <t>حمد اغا</t>
  </si>
  <si>
    <t>Hay Al Muthana</t>
  </si>
  <si>
    <t>حي المثنى</t>
  </si>
  <si>
    <t>IQ-P20765</t>
  </si>
  <si>
    <t>Hay Al Uroba</t>
  </si>
  <si>
    <t>حي العسكري</t>
  </si>
  <si>
    <t>حي الاربعين</t>
  </si>
  <si>
    <t>حي العصرية</t>
  </si>
  <si>
    <t>الحي الذهبي</t>
  </si>
  <si>
    <t>حي اللبن</t>
  </si>
  <si>
    <t>حي القادسية</t>
  </si>
  <si>
    <t>IQ-P20766</t>
  </si>
  <si>
    <t>حي السكك</t>
  </si>
  <si>
    <t>Hokna</t>
  </si>
  <si>
    <t>قرية حكنه</t>
  </si>
  <si>
    <t>jadida</t>
  </si>
  <si>
    <t>قرية جديده</t>
  </si>
  <si>
    <t>Jukhri Village</t>
  </si>
  <si>
    <t>جخري</t>
  </si>
  <si>
    <t>قرية جصة</t>
  </si>
  <si>
    <t>IQ-P20776</t>
  </si>
  <si>
    <t>Kahreez</t>
  </si>
  <si>
    <t>كهريز</t>
  </si>
  <si>
    <t>IQ-P20777</t>
  </si>
  <si>
    <t>Karash village 2</t>
  </si>
  <si>
    <t>قرية كرش 2</t>
  </si>
  <si>
    <t>Karash village 3</t>
  </si>
  <si>
    <t>قرية كرش 3</t>
  </si>
  <si>
    <t>قرية كرفر</t>
  </si>
  <si>
    <t>قرية مفري</t>
  </si>
  <si>
    <t>IQ-P20711</t>
  </si>
  <si>
    <t>Mashraf</t>
  </si>
  <si>
    <t>مشرف</t>
  </si>
  <si>
    <t>IQ-P20808</t>
  </si>
  <si>
    <t>قرية مشيرفة</t>
  </si>
  <si>
    <t>Omar khaild Village</t>
  </si>
  <si>
    <t>عمر خالد</t>
  </si>
  <si>
    <t>قرية قسرصريج</t>
  </si>
  <si>
    <t>IQ-P20837</t>
  </si>
  <si>
    <t>ساحل حمد</t>
  </si>
  <si>
    <t>Sahilah Village</t>
  </si>
  <si>
    <t>سحيله</t>
  </si>
  <si>
    <t>IQ-P20861</t>
  </si>
  <si>
    <t>Tal alhuaa</t>
  </si>
  <si>
    <t>IQ-P20872</t>
  </si>
  <si>
    <t>قرية تل حيال</t>
  </si>
  <si>
    <t>IQ-P20881</t>
  </si>
  <si>
    <t>قرية تل مرك سفلى</t>
  </si>
  <si>
    <t>IQ-P20835</t>
  </si>
  <si>
    <t>قرية تل مرك عليا</t>
  </si>
  <si>
    <t>قرية تل موس</t>
  </si>
  <si>
    <t>IQ-P20875</t>
  </si>
  <si>
    <t>قرية تل طلب</t>
  </si>
  <si>
    <t>قرية تل وردان</t>
  </si>
  <si>
    <t>Tel shor</t>
  </si>
  <si>
    <t>Wadi shour</t>
  </si>
  <si>
    <t>قرية وادي شور</t>
  </si>
  <si>
    <t>مجمع دوميز</t>
  </si>
  <si>
    <t>Tilkaif</t>
  </si>
  <si>
    <t>IQ-D091</t>
  </si>
  <si>
    <t xml:space="preserve">دير ستون </t>
  </si>
  <si>
    <t>IQ-P20938</t>
  </si>
  <si>
    <t xml:space="preserve">Babnet Village </t>
  </si>
  <si>
    <t>قرية بابنيت</t>
  </si>
  <si>
    <t>IQ-P20917</t>
  </si>
  <si>
    <t>Mosul Dam</t>
  </si>
  <si>
    <t xml:space="preserve">مشروع سد الموصل </t>
  </si>
  <si>
    <t>منارة</t>
  </si>
  <si>
    <t>IQ-P20992</t>
  </si>
  <si>
    <t>تل عدس</t>
  </si>
  <si>
    <t>IQ-P21035</t>
  </si>
  <si>
    <t>Al-Daur</t>
  </si>
  <si>
    <t>IQ-G18</t>
  </si>
  <si>
    <t>IQ-D103</t>
  </si>
  <si>
    <t>Al-Khadhra area</t>
  </si>
  <si>
    <t>الدور حي الخضراء</t>
  </si>
  <si>
    <t>IQ-P23412</t>
  </si>
  <si>
    <t>المجمع السكني</t>
  </si>
  <si>
    <t>Hay Abu Dalaf</t>
  </si>
  <si>
    <t>حي ابو دلف</t>
  </si>
  <si>
    <t>IQ-P23391</t>
  </si>
  <si>
    <t>Hay Al Qadisiah</t>
  </si>
  <si>
    <t>IQ-P23426</t>
  </si>
  <si>
    <t>حي العبور</t>
  </si>
  <si>
    <t>حي المعهد</t>
  </si>
  <si>
    <t>حي الشرقية</t>
  </si>
  <si>
    <t>حي تل البنات</t>
  </si>
  <si>
    <t>Al-Fares</t>
  </si>
  <si>
    <t>IQ-D104</t>
  </si>
  <si>
    <t>قرية بزنة</t>
  </si>
  <si>
    <t>Baiji</t>
  </si>
  <si>
    <t>IQ-D101</t>
  </si>
  <si>
    <t>IQ-P23185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</si>
  <si>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</si>
  <si>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</si>
  <si>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</si>
  <si>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</si>
  <si>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</si>
  <si>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</si>
  <si>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</si>
  <si>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</si>
  <si>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</si>
  <si>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</si>
  <si>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</si>
  <si>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</si>
  <si>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</si>
  <si>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</si>
  <si>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 xml:space="preserve">Yathrib sub distrct </t>
  </si>
  <si>
    <t>ناحية يثرب</t>
  </si>
  <si>
    <t>Samarra</t>
  </si>
  <si>
    <t>IQ-D105</t>
  </si>
  <si>
    <t>Al-Jillam area</t>
  </si>
  <si>
    <t>منطقة الجلام</t>
  </si>
  <si>
    <t>IQ-P23512</t>
  </si>
  <si>
    <t>Al-Tresha-Albu Fahed</t>
  </si>
  <si>
    <t>IQ-P23530</t>
  </si>
  <si>
    <t>Al-Tresha-Albu Shatb</t>
  </si>
  <si>
    <t>IQ-P23532</t>
  </si>
  <si>
    <t>Al_Jazera</t>
  </si>
  <si>
    <t>IQ-P23494</t>
  </si>
  <si>
    <t>مقاطعة 27 حاوى البساط</t>
  </si>
  <si>
    <t>Tikrit</t>
  </si>
  <si>
    <t>Al Ahad Al Jadid village</t>
  </si>
  <si>
    <t>IQ-D108</t>
  </si>
  <si>
    <t>IQ-P23661</t>
  </si>
  <si>
    <t>IQ-P23663</t>
  </si>
  <si>
    <t>Al Haweja village-AlAbady</t>
  </si>
  <si>
    <t>Al khuzamiya Village</t>
  </si>
  <si>
    <t>IQ-P23674</t>
  </si>
  <si>
    <t>IQ-P23680</t>
  </si>
  <si>
    <t>IQ-P23681</t>
  </si>
  <si>
    <t>قرية الدليمات</t>
  </si>
  <si>
    <t>قرية الكرامة</t>
  </si>
  <si>
    <t>IQ-P23706</t>
  </si>
  <si>
    <t>Al-Khanag village</t>
  </si>
  <si>
    <t>قرية الخنك</t>
  </si>
  <si>
    <t>IQ-P23673</t>
  </si>
  <si>
    <t>Al-Muskarat</t>
  </si>
  <si>
    <t>منطقة المعسكرات</t>
  </si>
  <si>
    <t>Al-Mutaradah 204</t>
  </si>
  <si>
    <t>IQ-P23709</t>
  </si>
  <si>
    <t>قرية الصافية</t>
  </si>
  <si>
    <t>IQ-P23711</t>
  </si>
  <si>
    <t>Al-Shahama Village</t>
  </si>
  <si>
    <t>IQ-P23712</t>
  </si>
  <si>
    <t>IQ-P23714</t>
  </si>
  <si>
    <t>Awajealah Quarter</t>
  </si>
  <si>
    <t>IQ-P23999</t>
  </si>
  <si>
    <t>Ellmeabdi Al Shemaliya Village</t>
  </si>
  <si>
    <t>IQ-P23801</t>
  </si>
  <si>
    <t>قرية حماد شهاب</t>
  </si>
  <si>
    <t>IQ-P23720</t>
  </si>
  <si>
    <t>IQ-P23655</t>
  </si>
  <si>
    <t>Hay Al Asry Al Jadid-404</t>
  </si>
  <si>
    <t>IQ-P23726</t>
  </si>
  <si>
    <t>Hay Al baladiyah</t>
  </si>
  <si>
    <t>حي البلدية-م(27-الخرجة والعالي)</t>
  </si>
  <si>
    <t>IQ-P24000</t>
  </si>
  <si>
    <t>Hay Al Jamiyah</t>
  </si>
  <si>
    <t>IQ-P23736</t>
  </si>
  <si>
    <t>IQ-P23747</t>
  </si>
  <si>
    <t>IQ-P23723</t>
  </si>
  <si>
    <t>IQ-P23729</t>
  </si>
  <si>
    <t>IQ-P23739</t>
  </si>
  <si>
    <t>Hay Al-Quthat</t>
  </si>
  <si>
    <t>حي القضاة</t>
  </si>
  <si>
    <t>حي الصقور</t>
  </si>
  <si>
    <t>IQ-P23758</t>
  </si>
  <si>
    <t>Hay Al-Wihda</t>
  </si>
  <si>
    <t>IQ-P23753</t>
  </si>
  <si>
    <t>IQ-P23730</t>
  </si>
  <si>
    <t>Hay Alfirdous</t>
  </si>
  <si>
    <t>Hay Alkahrbaa</t>
  </si>
  <si>
    <t>حي الكهرباء</t>
  </si>
  <si>
    <t>Hay Alqalaa</t>
  </si>
  <si>
    <t>IQ-P23743</t>
  </si>
  <si>
    <t>حي التجنيد</t>
  </si>
  <si>
    <t>IQ-P23749</t>
  </si>
  <si>
    <t>Hay Alziraa</t>
  </si>
  <si>
    <t>حي الزراعة</t>
  </si>
  <si>
    <t>IQ-P23762</t>
  </si>
  <si>
    <t>Mahalla Al muwadafeen</t>
  </si>
  <si>
    <t>IQ-P23786</t>
  </si>
  <si>
    <t>Qaryat Erbaidha</t>
  </si>
  <si>
    <t>IQ-P23789</t>
  </si>
  <si>
    <t>Sadayrat Abo Ajeel</t>
  </si>
  <si>
    <t>صديرة ابو عجيل</t>
  </si>
  <si>
    <t>IQ-P23792</t>
  </si>
  <si>
    <t>Samrah Village</t>
  </si>
  <si>
    <t>IQ-P23793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</si>
  <si>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</si>
  <si>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</si>
  <si>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</si>
  <si>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</si>
  <si>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</si>
  <si>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</si>
  <si>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</si>
  <si>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</si>
  <si>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</si>
  <si>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</si>
  <si>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</si>
  <si>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Al-Askareen</t>
  </si>
  <si>
    <t>حي العسكريين</t>
  </si>
  <si>
    <t>Hay Al-Askary</t>
  </si>
  <si>
    <t>Hay Al-Nasr</t>
  </si>
  <si>
    <t>Hay Al-Teen</t>
  </si>
  <si>
    <t>حي التين</t>
  </si>
  <si>
    <t>حي سبعة تموز</t>
  </si>
  <si>
    <t>Hay Wahid Huzayran</t>
  </si>
  <si>
    <t>حي واحد حزيران</t>
  </si>
  <si>
    <t>Qara Naz village</t>
  </si>
  <si>
    <t>قرية قرناز</t>
  </si>
  <si>
    <t>Husaibah Al-Sharqiah</t>
  </si>
  <si>
    <t>Khana sor</t>
  </si>
  <si>
    <t>Ain Hilwa Upper</t>
  </si>
  <si>
    <t>Sahel Hamad Village</t>
  </si>
  <si>
    <t>Tal Ismair</t>
  </si>
  <si>
    <t>Al Mahzam village</t>
  </si>
  <si>
    <t>Al Zallayah village</t>
  </si>
  <si>
    <t>Hay Al sinay-Al samad</t>
  </si>
  <si>
    <t>Al-Rutba</t>
  </si>
  <si>
    <t>حي الحارة</t>
  </si>
  <si>
    <t>IQ-D007</t>
  </si>
  <si>
    <t>IQ-P00504</t>
  </si>
  <si>
    <t>حي الانتصار</t>
  </si>
  <si>
    <t>IQ-P00513</t>
  </si>
  <si>
    <t>IQ-P00518</t>
  </si>
  <si>
    <t>حي غرب الوادي</t>
  </si>
  <si>
    <t>IQ-P00517</t>
  </si>
  <si>
    <t>Al Bu Maeed village</t>
  </si>
  <si>
    <t>Killo-32</t>
  </si>
  <si>
    <t>Al Majara Village</t>
  </si>
  <si>
    <t>قرية المجرة</t>
  </si>
  <si>
    <t>IQ-P12552</t>
  </si>
  <si>
    <t>Albo mandil village</t>
  </si>
  <si>
    <t>Albo Sabee Village</t>
  </si>
  <si>
    <t>Coksan village</t>
  </si>
  <si>
    <t>Hassan Dhayi village</t>
  </si>
  <si>
    <t>Al Karama Qtr</t>
  </si>
  <si>
    <t>Al Mataar Qtr</t>
  </si>
  <si>
    <t>Al Noor Qtr</t>
  </si>
  <si>
    <t>Al Sooq Qtr</t>
  </si>
  <si>
    <t>Mahalat Door Al-Dhubbat</t>
  </si>
  <si>
    <t>Shok Al Reem village</t>
  </si>
  <si>
    <t>Walosh1 village</t>
  </si>
  <si>
    <t>Walosh2 village</t>
  </si>
  <si>
    <t>Al Jamahir Qtr</t>
  </si>
  <si>
    <t>حي الجماهير</t>
  </si>
  <si>
    <t>Al Shuhada Qtr</t>
  </si>
  <si>
    <t>Al Taakhi Qtr</t>
  </si>
  <si>
    <t>Alkhadra Qtr</t>
  </si>
  <si>
    <t>Saad Qtr</t>
  </si>
  <si>
    <t>Adris khazal</t>
  </si>
  <si>
    <t>Al Hendia</t>
  </si>
  <si>
    <t>Zorava and zirwa</t>
  </si>
  <si>
    <t>Al Mafri</t>
  </si>
  <si>
    <t>Ein Gahesheya Village</t>
  </si>
  <si>
    <t>Hay Al laban</t>
  </si>
  <si>
    <t>Qaryat Tal Maraq Al Sufla</t>
  </si>
  <si>
    <t>Qaryat Tal Maraq Ulya</t>
  </si>
  <si>
    <t>Qasr Sarij</t>
  </si>
  <si>
    <t>Tal Mus</t>
  </si>
  <si>
    <t>Al Asriyah village</t>
  </si>
  <si>
    <t>Al Mujammaa Al Sakani</t>
  </si>
  <si>
    <t>Hay Al Aboor</t>
  </si>
  <si>
    <t>Hay Al Askri</t>
  </si>
  <si>
    <t>Hay Al Mahad</t>
  </si>
  <si>
    <t>Hay Al Sharqiyah</t>
  </si>
  <si>
    <t>Hay Tal Al Banat</t>
  </si>
  <si>
    <t>Al Hamra village</t>
  </si>
  <si>
    <t>Hawi Albsat</t>
  </si>
  <si>
    <t>Al Bzikhah Village</t>
  </si>
  <si>
    <t>Al Namah Al Junubiya 49</t>
  </si>
  <si>
    <t>Aldleimat Village</t>
  </si>
  <si>
    <t>Mahalla Al Aed</t>
  </si>
  <si>
    <t>Tal-Al Sibaat Village</t>
  </si>
  <si>
    <t>Hay Al-Ahrar-Al-Makrama</t>
  </si>
  <si>
    <t>Hay Al-Shohadaa</t>
  </si>
  <si>
    <t>Hay Sabaa Tamoz</t>
  </si>
  <si>
    <t>Al Salkah</t>
  </si>
  <si>
    <t>السكلة</t>
  </si>
  <si>
    <t>IQ-P00247</t>
  </si>
  <si>
    <t>الصوفية</t>
  </si>
  <si>
    <t>IQ-P00427</t>
  </si>
  <si>
    <t>Hay Al Akrad</t>
  </si>
  <si>
    <t>الاكراد</t>
  </si>
  <si>
    <t>IQ-P00473</t>
  </si>
  <si>
    <t>الخمسة كيلو</t>
  </si>
  <si>
    <t>IQ-P00402</t>
  </si>
  <si>
    <t>Albo Awad Village(Albo Khaial)</t>
  </si>
  <si>
    <t>السكك</t>
  </si>
  <si>
    <t>IQ-P00264</t>
  </si>
  <si>
    <t>السجارية</t>
  </si>
  <si>
    <t>الجرايشي</t>
  </si>
  <si>
    <t>IQ-P00455</t>
  </si>
  <si>
    <t>القادسية الاولى</t>
  </si>
  <si>
    <t>IQ-P00491</t>
  </si>
  <si>
    <t>Al Andalus</t>
  </si>
  <si>
    <t>الاندلس</t>
  </si>
  <si>
    <t>IQ-P00412</t>
  </si>
  <si>
    <t>Al Katanah</t>
  </si>
  <si>
    <t>الكطانة</t>
  </si>
  <si>
    <t>Al-Sikak</t>
  </si>
  <si>
    <t>Al Sajariyah</t>
  </si>
  <si>
    <t>Al-Jeraishi</t>
  </si>
  <si>
    <t>IQ-P00406</t>
  </si>
  <si>
    <t>Al Dhubat 2</t>
  </si>
  <si>
    <t xml:space="preserve">الضباط الثانية </t>
  </si>
  <si>
    <t>Al Hooz</t>
  </si>
  <si>
    <t>الحوز</t>
  </si>
  <si>
    <t>Al Lajeen</t>
  </si>
  <si>
    <t>اللاجئين</t>
  </si>
  <si>
    <t>القادسية الثانية</t>
  </si>
  <si>
    <t>IQ-P00492</t>
  </si>
  <si>
    <t>Al Ziraa</t>
  </si>
  <si>
    <t>الزراعة</t>
  </si>
  <si>
    <t>IQ-P00469</t>
  </si>
  <si>
    <t>Hay 30 Tamooz</t>
  </si>
  <si>
    <t>حي 30 تموز</t>
  </si>
  <si>
    <t>IQ-P00485</t>
  </si>
  <si>
    <t>Hay Al Dawajin</t>
  </si>
  <si>
    <t>حي الدواجن</t>
  </si>
  <si>
    <t>IQ-P00479</t>
  </si>
  <si>
    <t>Barah</t>
  </si>
  <si>
    <t>باره</t>
  </si>
  <si>
    <t>Al Aadil</t>
  </si>
  <si>
    <t>العادل</t>
  </si>
  <si>
    <t>IQ-P00411</t>
  </si>
  <si>
    <t>Al Askari</t>
  </si>
  <si>
    <t>العسكري</t>
  </si>
  <si>
    <t>العزيزية</t>
  </si>
  <si>
    <t>IQ-P00413</t>
  </si>
  <si>
    <t>Al-Ankor</t>
  </si>
  <si>
    <t>العنكور</t>
  </si>
  <si>
    <t>IQ-P00429</t>
  </si>
  <si>
    <t>Al-Thilah</t>
  </si>
  <si>
    <t>الثيلة</t>
  </si>
  <si>
    <t>IQ-P00466</t>
  </si>
  <si>
    <t>Hay Al Eskan</t>
  </si>
  <si>
    <t>الاسكان</t>
  </si>
  <si>
    <t>IQ-P00474</t>
  </si>
  <si>
    <t>الملعب</t>
  </si>
  <si>
    <t>IQ-P00476</t>
  </si>
  <si>
    <t>الزيدان-قرية الحمدان</t>
  </si>
  <si>
    <t>الزيدان-قرية الشنادخة</t>
  </si>
  <si>
    <t>الزيدان-قرية الشنيتر</t>
  </si>
  <si>
    <t>الزيدان-قرية مشكور</t>
  </si>
  <si>
    <t>الزيدان-قرية ياسين المطلق</t>
  </si>
  <si>
    <t>سبع البور-11000</t>
  </si>
  <si>
    <t>سبع البور-3000</t>
  </si>
  <si>
    <t>سبع البور-7000</t>
  </si>
  <si>
    <t>سبع البور-9000</t>
  </si>
  <si>
    <t>سبع البور-14000</t>
  </si>
  <si>
    <t>سبع البور-4000</t>
  </si>
  <si>
    <t>سبع البور-5000</t>
  </si>
  <si>
    <t>سبع البور-8000</t>
  </si>
  <si>
    <t>شاخة-5</t>
  </si>
  <si>
    <t>قرية البومنديل</t>
  </si>
  <si>
    <t>قرية كوكسان</t>
  </si>
  <si>
    <t>قرية زحام</t>
  </si>
  <si>
    <t>Al-Khadraa Qtr</t>
  </si>
  <si>
    <t>حي الربيع الاولى</t>
  </si>
  <si>
    <t>خانصور</t>
  </si>
  <si>
    <t>ابتاخ</t>
  </si>
  <si>
    <t>قرية تل الشور</t>
  </si>
  <si>
    <t>قرية الحويجة-العبادي</t>
  </si>
  <si>
    <t>حي الاربعين-محله 414</t>
  </si>
  <si>
    <t>حي العصري-مقاطعة7-المطاردة محلة 404</t>
  </si>
  <si>
    <t>حي الجمعية-محله 418</t>
  </si>
  <si>
    <t>حي سلمى التغلبيه-محله 401</t>
  </si>
  <si>
    <t>Karbir</t>
  </si>
  <si>
    <t>كربير</t>
  </si>
  <si>
    <t>IQ-P20756</t>
  </si>
  <si>
    <t>Khan safih</t>
  </si>
  <si>
    <t>خان صفية</t>
  </si>
  <si>
    <t>IQ-P20783</t>
  </si>
  <si>
    <t>Qaryat Al Sareen</t>
  </si>
  <si>
    <t>IQ-P23301</t>
  </si>
  <si>
    <t>Al Sayoya-Mahala 1</t>
  </si>
  <si>
    <t>IQ-P23489</t>
  </si>
  <si>
    <t>IQ-P23495</t>
  </si>
  <si>
    <t>Al-Hewaish area</t>
  </si>
  <si>
    <t>IQ-P23508</t>
  </si>
  <si>
    <t>Mahalla Makeshfa</t>
  </si>
  <si>
    <t>Al Shaheed Abdulla village</t>
  </si>
  <si>
    <t>Al-Dibsa Village</t>
  </si>
  <si>
    <t>قرية الدبسة</t>
  </si>
  <si>
    <t>Hay Al Dhubbat</t>
  </si>
  <si>
    <t>IQ-P23755</t>
  </si>
  <si>
    <t>Hay Al-Sikak</t>
  </si>
  <si>
    <t xml:space="preserve">الازركية </t>
  </si>
  <si>
    <t>IQ-P00056</t>
  </si>
  <si>
    <t xml:space="preserve">قرية الفلاحات </t>
  </si>
  <si>
    <t>IQ-P00089</t>
  </si>
  <si>
    <t>الشهابي الاولى</t>
  </si>
  <si>
    <t>IQ-P00106</t>
  </si>
  <si>
    <t xml:space="preserve">الشهابي الثانية </t>
  </si>
  <si>
    <t>IQ-P00107</t>
  </si>
  <si>
    <t xml:space="preserve">قرية الزوية </t>
  </si>
  <si>
    <t>IQ-P00114</t>
  </si>
  <si>
    <t>Albu Alwan</t>
  </si>
  <si>
    <t>قرية البوعلوان</t>
  </si>
  <si>
    <t>IQ-P00064</t>
  </si>
  <si>
    <t>IQ-P00072</t>
  </si>
  <si>
    <t>البوشجل</t>
  </si>
  <si>
    <t>IQ-P00079</t>
  </si>
  <si>
    <t>Albu Shihab</t>
  </si>
  <si>
    <t>البوشهاب</t>
  </si>
  <si>
    <t>IQ-P00080</t>
  </si>
  <si>
    <t>البوعكاش</t>
  </si>
  <si>
    <t>IQ-P00083</t>
  </si>
  <si>
    <t xml:space="preserve">قرية الحلابسة </t>
  </si>
  <si>
    <t>IQ-P00128</t>
  </si>
  <si>
    <t xml:space="preserve">البوحديد الناصر </t>
  </si>
  <si>
    <t>IQ-P00166</t>
  </si>
  <si>
    <t>Hay Al Mamoun</t>
  </si>
  <si>
    <t>Hay Al-jamyah 2</t>
  </si>
  <si>
    <t>Al Azeziya</t>
  </si>
  <si>
    <t>Al Khulafaa</t>
  </si>
  <si>
    <t>Al-Shuhadaa</t>
  </si>
  <si>
    <t>Hay Al Malab</t>
  </si>
  <si>
    <t>Hay barbaroj</t>
  </si>
  <si>
    <t>حي بربروش</t>
  </si>
  <si>
    <t>IQ-P20607</t>
  </si>
  <si>
    <t>Qandil</t>
  </si>
  <si>
    <t>قنديل</t>
  </si>
  <si>
    <t>Abu Hajira vilage</t>
  </si>
  <si>
    <t>Tal Hial vilage</t>
  </si>
  <si>
    <t>Tal Talab vilage</t>
  </si>
  <si>
    <t>Derston</t>
  </si>
  <si>
    <t>قرية الزلاية</t>
  </si>
  <si>
    <t>قرية الشهامة</t>
  </si>
  <si>
    <t>Al Hara</t>
  </si>
  <si>
    <t>Al Intesar</t>
  </si>
  <si>
    <t>Hay Al Mattar</t>
  </si>
  <si>
    <t>Hay Gharb Al Wadi</t>
  </si>
  <si>
    <t>Al Azrakiya</t>
  </si>
  <si>
    <t>Al Falahat village</t>
  </si>
  <si>
    <t>Al Husi</t>
  </si>
  <si>
    <t>الحصي</t>
  </si>
  <si>
    <t>IQ-P00032</t>
  </si>
  <si>
    <t>IQ-P00033</t>
  </si>
  <si>
    <t>Al Shihabi 1</t>
  </si>
  <si>
    <t>Al Shihabi 2</t>
  </si>
  <si>
    <t>Al Shurta</t>
  </si>
  <si>
    <t>حي الشرطة</t>
  </si>
  <si>
    <t>IQ-P00048</t>
  </si>
  <si>
    <t>Al ziwiyah village</t>
  </si>
  <si>
    <t>Albu Akash</t>
  </si>
  <si>
    <t>Albu Hadded village</t>
  </si>
  <si>
    <t>Albu Jasim village</t>
  </si>
  <si>
    <t>Albu Khalifa</t>
  </si>
  <si>
    <t xml:space="preserve">البوخليفة </t>
  </si>
  <si>
    <t>IQ-P00074</t>
  </si>
  <si>
    <t>Albu Khanfar</t>
  </si>
  <si>
    <t xml:space="preserve">البوخنفر </t>
  </si>
  <si>
    <t>IQ-P00075</t>
  </si>
  <si>
    <t>Albu Shijel</t>
  </si>
  <si>
    <t>Albu Udah</t>
  </si>
  <si>
    <t>البوعودة</t>
  </si>
  <si>
    <t>IQ-P00084</t>
  </si>
  <si>
    <t>Alhalabsah village</t>
  </si>
  <si>
    <t>الحلابسة الكرمة</t>
  </si>
  <si>
    <t>IQ-P00127</t>
  </si>
  <si>
    <t>Hay Al Askari</t>
  </si>
  <si>
    <t>IQ-P00026</t>
  </si>
  <si>
    <t>Haditha</t>
  </si>
  <si>
    <t>Al Khansaa</t>
  </si>
  <si>
    <t>حي الخنساء</t>
  </si>
  <si>
    <t>IQ-D003</t>
  </si>
  <si>
    <t>Al-Mutanabi</t>
  </si>
  <si>
    <t>المتنبي</t>
  </si>
  <si>
    <t>IQ-P00186</t>
  </si>
  <si>
    <t>IQ-P00193</t>
  </si>
  <si>
    <t>7 Kilo-Mujam Al Sakani</t>
  </si>
  <si>
    <t>Al Jamiya</t>
  </si>
  <si>
    <t>Al Qadissiya 2</t>
  </si>
  <si>
    <t>Al Shuhada</t>
  </si>
  <si>
    <t>Al Shuqaq Al Bidh</t>
  </si>
  <si>
    <t>الشقق البيض</t>
  </si>
  <si>
    <t>Al Sofiyah</t>
  </si>
  <si>
    <t>Kilo 5</t>
  </si>
  <si>
    <t>Sabea Al Buor-13000</t>
  </si>
  <si>
    <t>سبع البور-13000</t>
  </si>
  <si>
    <t>killo-31</t>
  </si>
  <si>
    <t>Al Aqssa Village</t>
  </si>
  <si>
    <t>Al Arabdah Village</t>
  </si>
  <si>
    <t>Al Askary Qtr</t>
  </si>
  <si>
    <t>Al Bayat Village</t>
  </si>
  <si>
    <t>Al Dwaleeb Village</t>
  </si>
  <si>
    <t>Al Idhem Center</t>
  </si>
  <si>
    <t>Al Kholafa Village</t>
  </si>
  <si>
    <t>Al Makareen Village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</si>
  <si>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</si>
  <si>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</si>
  <si>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</si>
  <si>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</si>
  <si>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</si>
  <si>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Al Mashroo Village</t>
  </si>
  <si>
    <t>Al Qalaa Village</t>
  </si>
  <si>
    <t>Al Romelat Village</t>
  </si>
  <si>
    <t>Al Sadah Village</t>
  </si>
  <si>
    <t>Al Shuhadaa Qtr</t>
  </si>
  <si>
    <t>Al Taleaa Al Thanya Village</t>
  </si>
  <si>
    <t>Albo Ebada Village</t>
  </si>
  <si>
    <t>Albo Hnayhen Village</t>
  </si>
  <si>
    <t>قرية البو حنيحن</t>
  </si>
  <si>
    <t>Albo Mohammed Village</t>
  </si>
  <si>
    <t>قرية البو محمد</t>
  </si>
  <si>
    <t>Albo Shreh Village</t>
  </si>
  <si>
    <t>Ali Al Abdulla Village</t>
  </si>
  <si>
    <t>Alwan Al Hadid Village</t>
  </si>
  <si>
    <t>Arab Hafeedh Village</t>
  </si>
  <si>
    <t>Bazaiz Al Mashroo Village</t>
  </si>
  <si>
    <t>Bizayiz Sherwin Village</t>
  </si>
  <si>
    <t>دلي عباس-الحي القديم</t>
  </si>
  <si>
    <t>Dalli Abass-Al Dhobat Qtr</t>
  </si>
  <si>
    <t>دلي عباس-حي الضباط</t>
  </si>
  <si>
    <t>Dalli Abass-Al Mualimen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</si>
  <si>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</si>
  <si>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</si>
  <si>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</si>
  <si>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</si>
  <si>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</si>
  <si>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Abass-Kurd Ali Qtr</t>
  </si>
  <si>
    <t>دلي عباس-حي كرد علي</t>
  </si>
  <si>
    <t>Dawod Al Salom Village</t>
  </si>
  <si>
    <t>Dwaleeb Al Imam Village</t>
  </si>
  <si>
    <t>Habib Al Abdulla Village</t>
  </si>
  <si>
    <t>Habib Al Khaizaran Village</t>
  </si>
  <si>
    <t>Hamza Al Najim Village</t>
  </si>
  <si>
    <t>Jdhaif Village</t>
  </si>
  <si>
    <t>Khan Al Qorsa Village</t>
  </si>
  <si>
    <t>Khashim Zarzor Village</t>
  </si>
  <si>
    <t>قرية خشم زرزور</t>
  </si>
  <si>
    <t>Mansouriyat Al Gabal</t>
  </si>
  <si>
    <t>Mohammed Ali Village</t>
  </si>
  <si>
    <t>Mohammed Taha Village</t>
  </si>
  <si>
    <t>Najim Al Abdulla Village</t>
  </si>
  <si>
    <t>A Hammadi Village</t>
  </si>
  <si>
    <t>Abo Dihin</t>
  </si>
  <si>
    <t>Al Aali Village</t>
  </si>
  <si>
    <t>Al Derwish Village</t>
  </si>
  <si>
    <t>Al Igaidat Village</t>
  </si>
  <si>
    <t>Al Lihayb Village</t>
  </si>
  <si>
    <t>Al Mithaq Village</t>
  </si>
  <si>
    <t>Al Oqood Village</t>
  </si>
  <si>
    <t>Al Sakhar Village</t>
  </si>
  <si>
    <t>Al Shamamla Village</t>
  </si>
  <si>
    <t>قرية الشماملة</t>
  </si>
  <si>
    <t>Al Shekha Village</t>
  </si>
  <si>
    <t>Al Sodoor</t>
  </si>
  <si>
    <t>Al Somood Qtr</t>
  </si>
  <si>
    <t>Al Tinaira Village</t>
  </si>
  <si>
    <t>قرية الطنيرة</t>
  </si>
  <si>
    <t>Al Uroba Qtr</t>
  </si>
  <si>
    <t>Al Wazan Village</t>
  </si>
  <si>
    <t>Al-Gawam Village</t>
  </si>
  <si>
    <t>AlTaiha Qtr</t>
  </si>
  <si>
    <t>قرية التايهة</t>
  </si>
  <si>
    <t>Baloor Village</t>
  </si>
  <si>
    <t>قرية حاج فاضل</t>
  </si>
  <si>
    <t>Hembes Village</t>
  </si>
  <si>
    <t>Imam Talib Village</t>
  </si>
  <si>
    <t>Nahr Al Shaykh Village</t>
  </si>
  <si>
    <t>Shak Al Rak Village</t>
  </si>
  <si>
    <t>Sinsil Al Wasat Village</t>
  </si>
  <si>
    <t>Sodoor Al Ray</t>
  </si>
  <si>
    <t>Al Asree Qtr</t>
  </si>
  <si>
    <t>Al Husaini Village</t>
  </si>
  <si>
    <t>Al Israa Qtr</t>
  </si>
  <si>
    <t>Al Oroba Qtr</t>
  </si>
  <si>
    <t>Al Rabe Al Olaa Qtr</t>
  </si>
  <si>
    <t>Al Rabe Al Thaletha Qtr</t>
  </si>
  <si>
    <t>Al Rabe Al Thaniya Qtr</t>
  </si>
  <si>
    <t>Al Taleaa 2 Qtr</t>
  </si>
  <si>
    <t>Al Taleaa Qtr</t>
  </si>
  <si>
    <t>Al Nitham village</t>
  </si>
  <si>
    <t>Abu Sheta</t>
  </si>
  <si>
    <t>ابو شيته</t>
  </si>
  <si>
    <t>IQ-P14150</t>
  </si>
  <si>
    <t>Daquq</t>
  </si>
  <si>
    <t>Bashir village</t>
  </si>
  <si>
    <t>قرية بشير</t>
  </si>
  <si>
    <t>IQ-D074</t>
  </si>
  <si>
    <t>IQ-P16535</t>
  </si>
  <si>
    <t>Al-Hamdaniya</t>
  </si>
  <si>
    <t>Kezkan</t>
  </si>
  <si>
    <t>كزكان</t>
  </si>
  <si>
    <t>IQ-D085</t>
  </si>
  <si>
    <t>Tal Al-Laban</t>
  </si>
  <si>
    <t>تل اللبن</t>
  </si>
  <si>
    <t>Wardak</t>
  </si>
  <si>
    <t>وردك</t>
  </si>
  <si>
    <t>IQ-P19891</t>
  </si>
  <si>
    <t>Al Baraka complex</t>
  </si>
  <si>
    <t>Al Haj Ali</t>
  </si>
  <si>
    <t>الحاج علي</t>
  </si>
  <si>
    <t>IQ-P20042</t>
  </si>
  <si>
    <t>Al-Alfaf complex</t>
  </si>
  <si>
    <t>Maghara</t>
  </si>
  <si>
    <t>Merki</t>
  </si>
  <si>
    <t>Borak</t>
  </si>
  <si>
    <t>Guhbal and shorka</t>
  </si>
  <si>
    <t>Hay Azadi</t>
  </si>
  <si>
    <t>حي ازادي</t>
  </si>
  <si>
    <t>IQ-P20606</t>
  </si>
  <si>
    <t xml:space="preserve">زورافا+زيروا </t>
  </si>
  <si>
    <t>قرية أبو خشب</t>
  </si>
  <si>
    <t>Ain aawes</t>
  </si>
  <si>
    <t>Albawtha vilage</t>
  </si>
  <si>
    <t>Bardiyah complex</t>
  </si>
  <si>
    <t>Beer ekla vilage</t>
  </si>
  <si>
    <t>Domez complex</t>
  </si>
  <si>
    <t>Ewaynat vilage</t>
  </si>
  <si>
    <t>Gilbarat</t>
  </si>
  <si>
    <t>Hay Al Arbaeen</t>
  </si>
  <si>
    <t>Hay Al Qadisya</t>
  </si>
  <si>
    <t>Hay Al Salam</t>
  </si>
  <si>
    <t>Hay Al Sikak</t>
  </si>
  <si>
    <t>Hay Al-Mualemen</t>
  </si>
  <si>
    <t>Hay Al-Noor</t>
  </si>
  <si>
    <t>Hay Alasreya</t>
  </si>
  <si>
    <t>Hay althahabe</t>
  </si>
  <si>
    <t>Jussa</t>
  </si>
  <si>
    <t>Karsur vilage</t>
  </si>
  <si>
    <t>kirver village</t>
  </si>
  <si>
    <t>Msherfa Village</t>
  </si>
  <si>
    <t>Qasabat Zummar</t>
  </si>
  <si>
    <t>قصبة زمار</t>
  </si>
  <si>
    <t>Salihiat alrawia vilage</t>
  </si>
  <si>
    <t>تل الهوى</t>
  </si>
  <si>
    <t>قرية تل أسمير</t>
  </si>
  <si>
    <t>Tal wardan vilage</t>
  </si>
  <si>
    <t>Manara</t>
  </si>
  <si>
    <t>Tal Adas</t>
  </si>
  <si>
    <t>wanna center</t>
  </si>
  <si>
    <t>مركز وانة</t>
  </si>
  <si>
    <t>IQ-P21042</t>
  </si>
  <si>
    <t>Albofadous village</t>
  </si>
  <si>
    <t>قرية البوفدعوس</t>
  </si>
  <si>
    <t>Bizna Village</t>
  </si>
  <si>
    <t>Al-Shirqat</t>
  </si>
  <si>
    <t>IQ-D106</t>
  </si>
  <si>
    <t>قرية الحمرة</t>
  </si>
  <si>
    <t>قرية الحجاج</t>
  </si>
  <si>
    <t>Al Mazraa Village</t>
  </si>
  <si>
    <t>قرية المزرعة</t>
  </si>
  <si>
    <t>IQ-P23206</t>
  </si>
  <si>
    <t>Albu-Tumah village-12</t>
  </si>
  <si>
    <t>قرية البوطعمه</t>
  </si>
  <si>
    <t>قرية الصرين</t>
  </si>
  <si>
    <t>Al-Haweeja Al bahriya</t>
  </si>
  <si>
    <t>قرية الجبور والحويجة ا</t>
  </si>
  <si>
    <t>Al-Abasiya Village</t>
  </si>
  <si>
    <t>قرية العباسية</t>
  </si>
  <si>
    <t>قرية الحويش</t>
  </si>
  <si>
    <t>البو فهد</t>
  </si>
  <si>
    <t>قرية البو شطب</t>
  </si>
  <si>
    <t>محلة مكيشفه</t>
  </si>
  <si>
    <t>(Al Qadissiya)-218-500</t>
  </si>
  <si>
    <t>قرية العهد الجديد</t>
  </si>
  <si>
    <t>قرية البزيخة</t>
  </si>
  <si>
    <t>قرية الخزامية</t>
  </si>
  <si>
    <t>قرية المحزم</t>
  </si>
  <si>
    <t>الناعمة الجنوبية قرية الناعمة الجنوبية</t>
  </si>
  <si>
    <t>Al Namah Al Shamaliyah Village</t>
  </si>
  <si>
    <t>الناعمة الشمالية قرية الناعمة الشمالية</t>
  </si>
  <si>
    <t>قرية الشهيد عبدالله جباره</t>
  </si>
  <si>
    <t>Al-Karama Village</t>
  </si>
  <si>
    <t>حي الشهداء مقاطعة 7-المطاردة محلة 204</t>
  </si>
  <si>
    <t>Al-Safia Village</t>
  </si>
  <si>
    <t>قرية المعيبدي الشمالية</t>
  </si>
  <si>
    <t>Hammad Shehab village</t>
  </si>
  <si>
    <t>Hay Al Anwaa-Mahalla 420</t>
  </si>
  <si>
    <t>حي الانواء-محله 420</t>
  </si>
  <si>
    <t>Hay Al Askari village</t>
  </si>
  <si>
    <t>Hay Al Baladiyat-Mahalla 402</t>
  </si>
  <si>
    <t>البلدديات-402</t>
  </si>
  <si>
    <t>احي الجمعية-2</t>
  </si>
  <si>
    <t>Hay Al Jamiyah-Mahalla 418</t>
  </si>
  <si>
    <t>Hay Al Mualimeen-Mahalla 406</t>
  </si>
  <si>
    <t>حي المعلمين-محله 406</t>
  </si>
  <si>
    <t>قرية الصمد</t>
  </si>
  <si>
    <t>Hay Al Zuhoor-Mahalla 422</t>
  </si>
  <si>
    <t>Hay Al-Suqoore</t>
  </si>
  <si>
    <t>Hay Aldiyoom</t>
  </si>
  <si>
    <t>حي الديوم-مقاطعة 21-ديوم تكريت</t>
  </si>
  <si>
    <t>Hay Altajneed</t>
  </si>
  <si>
    <t>Hay Alziraa-100 Dar</t>
  </si>
  <si>
    <t>منطقة 100 دار</t>
  </si>
  <si>
    <t>Hay Salma Al Taghlubiyah-Mahalla 401</t>
  </si>
  <si>
    <t>Hay Shishin-408</t>
  </si>
  <si>
    <t>قرية أربيضة</t>
  </si>
  <si>
    <t>قرية سمرة</t>
  </si>
  <si>
    <t>قرية تل السيباط</t>
  </si>
  <si>
    <t>البوجاسم-الكرمة</t>
  </si>
  <si>
    <t>Halabsa-Al karma</t>
  </si>
  <si>
    <t>Haqlaniyah-Al shuhadaa</t>
  </si>
  <si>
    <t>حي الشهداء-الحقلانية</t>
  </si>
  <si>
    <t>Hay Al Haqlaniyah Qadim</t>
  </si>
  <si>
    <t>حي حقلانية القديمة</t>
  </si>
  <si>
    <t>IQ-P00198</t>
  </si>
  <si>
    <t>Al Baker</t>
  </si>
  <si>
    <t>حي البكر</t>
  </si>
  <si>
    <t>IQ-P00238</t>
  </si>
  <si>
    <t>Heet-Maskhan</t>
  </si>
  <si>
    <t>Kapisah-Hay Al-Sinay</t>
  </si>
  <si>
    <t>السبعة كيلو-المجمع السكني</t>
  </si>
  <si>
    <t>Qadisiya-1</t>
  </si>
  <si>
    <t>Sabea Al Buor-11000</t>
  </si>
  <si>
    <t>Sabea Al Buor-12000</t>
  </si>
  <si>
    <t>سبع البور-12000</t>
  </si>
  <si>
    <t>Sabea Al Buor-3000</t>
  </si>
  <si>
    <t>Sabea Al Buor-7000</t>
  </si>
  <si>
    <t>Sabea Al Buor-9000</t>
  </si>
  <si>
    <t>كيلو-31</t>
  </si>
  <si>
    <t>Shaka-1</t>
  </si>
  <si>
    <t>شاخة-1</t>
  </si>
  <si>
    <t>Shaka-3</t>
  </si>
  <si>
    <t>شاخة-3</t>
  </si>
  <si>
    <t>shaka-4</t>
  </si>
  <si>
    <t>شاخة-4</t>
  </si>
  <si>
    <t>shaka-5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</si>
  <si>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</si>
  <si>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</si>
  <si>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</si>
  <si>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</si>
  <si>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Dali Abbas-Al Qadim Qtr</t>
  </si>
  <si>
    <t>Al Isaiwed Village</t>
  </si>
  <si>
    <t>قرية الاسيود</t>
  </si>
  <si>
    <t>IQ-P13217</t>
  </si>
  <si>
    <t>Bani weas Village</t>
  </si>
  <si>
    <t>قرية بني ويس</t>
  </si>
  <si>
    <t>Murjana village</t>
  </si>
  <si>
    <t>قرية مرجانة</t>
  </si>
  <si>
    <t>Kobani village</t>
  </si>
  <si>
    <t>قرية كوباني</t>
  </si>
  <si>
    <t>Al Bije Wa Hawijat Al Bije</t>
  </si>
  <si>
    <t>البعيجي وحويجة البعيجي</t>
  </si>
  <si>
    <t>Al Hejaj Village-13</t>
  </si>
  <si>
    <t>حي عويجيلية-م(27-الخرجة والعالي)</t>
  </si>
  <si>
    <t>Hay Al Arbaeen-Mahalla 414</t>
  </si>
  <si>
    <t>حي الزهور-محله 422</t>
  </si>
  <si>
    <t>حي الفردوس(البو عبيد)مقاطعة-5 محلة 428</t>
  </si>
  <si>
    <t>حي شيشين-مقاطعة 5-وادي شيشين محلة 408</t>
  </si>
  <si>
    <t>Qdisiyah1-Mahalla 214</t>
  </si>
  <si>
    <t>Qdisiyah2-Mahalla 216</t>
  </si>
  <si>
    <t>حي الاحرار-المكرمة</t>
  </si>
  <si>
    <t>Post
 October16</t>
  </si>
  <si>
    <t>Al Mualmeen</t>
  </si>
  <si>
    <t xml:space="preserve">حي المعلمين </t>
  </si>
  <si>
    <t>IQ-P00039</t>
  </si>
  <si>
    <t>Al Niemiya</t>
  </si>
  <si>
    <t xml:space="preserve">النعيمية </t>
  </si>
  <si>
    <t>IQ-P00164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</si>
  <si>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</si>
  <si>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</si>
  <si>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</si>
  <si>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</si>
  <si>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</si>
  <si>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</si>
  <si>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</si>
  <si>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</si>
  <si>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</si>
  <si>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</si>
  <si>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</si>
  <si>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</si>
  <si>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</si>
  <si>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</si>
  <si>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</si>
  <si>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</si>
  <si>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IQ-P00112</t>
  </si>
  <si>
    <t>Door Al Sikik Area</t>
  </si>
  <si>
    <t>دور السكك</t>
  </si>
  <si>
    <t>IQ-P00121</t>
  </si>
  <si>
    <t>Nazal</t>
  </si>
  <si>
    <t>حي نزال</t>
  </si>
  <si>
    <t>IQ-P00163</t>
  </si>
  <si>
    <t xml:space="preserve">ابو فليس </t>
  </si>
  <si>
    <t>IQ-P00408</t>
  </si>
  <si>
    <t>Jubiya</t>
  </si>
  <si>
    <t>زوية الذبان</t>
  </si>
  <si>
    <t>IQ-P00501</t>
  </si>
  <si>
    <t>Al Jazera Al Ola Village</t>
  </si>
  <si>
    <t>قرية الجزيرة الاولى</t>
  </si>
  <si>
    <t>IQ-P13176</t>
  </si>
  <si>
    <t>Al Jazera Al Thanya village</t>
  </si>
  <si>
    <t>قرية الجزيرة الثانية</t>
  </si>
  <si>
    <t>Arab Dhaher Village</t>
  </si>
  <si>
    <t>قرية عرب ظاهر</t>
  </si>
  <si>
    <t>Kapran</t>
  </si>
  <si>
    <t>كبران</t>
  </si>
  <si>
    <t>IQ-P14354</t>
  </si>
  <si>
    <t>Markez Gwer</t>
  </si>
  <si>
    <t>مركز كوير</t>
  </si>
  <si>
    <t>IQ-P14306</t>
  </si>
  <si>
    <t>Al-Ausaja Village</t>
  </si>
  <si>
    <t>قرية العوسجة</t>
  </si>
  <si>
    <t>IQ-P20005</t>
  </si>
  <si>
    <t>AL-Jadah Village</t>
  </si>
  <si>
    <t>قرية الجدعة</t>
  </si>
  <si>
    <t>Kabrok village</t>
  </si>
  <si>
    <t>قرية كبروك</t>
  </si>
  <si>
    <t>Khubatah Village</t>
  </si>
  <si>
    <t>قرية خباطة</t>
  </si>
  <si>
    <t>IQ-P20105</t>
  </si>
  <si>
    <t>Makkuk Village</t>
  </si>
  <si>
    <t>قرية مكوك</t>
  </si>
  <si>
    <t>قرية الفجر</t>
  </si>
  <si>
    <t>IQ-P23583</t>
  </si>
  <si>
    <t>Al Jumiala village</t>
  </si>
  <si>
    <t>حي الجميلة</t>
  </si>
  <si>
    <t>IQ-P23587</t>
  </si>
  <si>
    <t>Al Khadraniyah</t>
  </si>
  <si>
    <t>قرية الخضرانية</t>
  </si>
  <si>
    <t>IQ-P23588</t>
  </si>
  <si>
    <t>Al Khanuga village</t>
  </si>
  <si>
    <t>قرية الخانوكة</t>
  </si>
  <si>
    <t>IQ-P23589</t>
  </si>
  <si>
    <t>Al Khasim Al-Jaded village-Al qlisat</t>
  </si>
  <si>
    <t>Al-Ayitha Village</t>
  </si>
  <si>
    <t>IQ-P23617</t>
  </si>
  <si>
    <t>Al-Horya Al-Qadema village</t>
  </si>
  <si>
    <t>قرية الحورية القديمة</t>
  </si>
  <si>
    <t>Al-Jafr Al-Har village</t>
  </si>
  <si>
    <t>قرية الجفر الحار</t>
  </si>
  <si>
    <t>Al-Khasim Al-Qadem village</t>
  </si>
  <si>
    <t>قرية الخصم القديمة</t>
  </si>
  <si>
    <t>IQ-P23591</t>
  </si>
  <si>
    <t>Al-Musehly Village</t>
  </si>
  <si>
    <t>قرية المسيحلي</t>
  </si>
  <si>
    <t>IQ-P23599</t>
  </si>
  <si>
    <t>Al-Qalaa Village</t>
  </si>
  <si>
    <t>Al-Qudus</t>
  </si>
  <si>
    <t>القدس</t>
  </si>
  <si>
    <t>Al-Swedan Village</t>
  </si>
  <si>
    <t>قرية سويدان</t>
  </si>
  <si>
    <t>IQ-P23638</t>
  </si>
  <si>
    <t>Hawi Baaja Hawi</t>
  </si>
  <si>
    <t>حاوي بعاجه حاوي-حضر</t>
  </si>
  <si>
    <t>IQ-P23603</t>
  </si>
  <si>
    <t>IQ-P23607</t>
  </si>
  <si>
    <t>Hay Al Qasbah</t>
  </si>
  <si>
    <t>حي القصبة</t>
  </si>
  <si>
    <t>IQ-P23608</t>
  </si>
  <si>
    <t>Hay Al-Baladyat</t>
  </si>
  <si>
    <t>حي البلديات</t>
  </si>
  <si>
    <t>Hay Al-noor</t>
  </si>
  <si>
    <t>Hay Tal Baajah</t>
  </si>
  <si>
    <t>حي تل بعاجة</t>
  </si>
  <si>
    <t>Huriyah al jazerah-Al-Aboud</t>
  </si>
  <si>
    <t>قرية العبود</t>
  </si>
  <si>
    <t>IQ-P23614</t>
  </si>
  <si>
    <t>Qaryat Al Sabkha</t>
  </si>
  <si>
    <t>قرية الصبخة</t>
  </si>
  <si>
    <t>IQ-P23628</t>
  </si>
  <si>
    <t>Tal Al Jumiala area</t>
  </si>
  <si>
    <t xml:space="preserve">تل بعاجة 1 وتل اجميلة </t>
  </si>
  <si>
    <t>IQ-P23640</t>
  </si>
  <si>
    <t>Post 17 October 16 Period</t>
  </si>
  <si>
    <t>DTM : Returnee Master List Date 24-11-2016</t>
  </si>
  <si>
    <t>Al jdawil(qnatir)</t>
  </si>
  <si>
    <t>الجداول(الكناطر)</t>
  </si>
  <si>
    <t>Muallimeen-2</t>
  </si>
  <si>
    <t xml:space="preserve">حي المعلمين الثانية </t>
  </si>
  <si>
    <t>IQ-P00158</t>
  </si>
  <si>
    <t>Abu Flees</t>
  </si>
  <si>
    <t>Hay 8 Shbaat</t>
  </si>
  <si>
    <t>Zwiyat Al Thiban</t>
  </si>
  <si>
    <t>Abu Lahya(Al kragolyia)</t>
  </si>
  <si>
    <t>البو عيسا(الكرغولية)</t>
  </si>
  <si>
    <t>Al Bu Hasson(Al kragolyia)</t>
  </si>
  <si>
    <t>البو حسون(الكرغولية)</t>
  </si>
  <si>
    <t>Al Bu solta(Al kragolyia)</t>
  </si>
  <si>
    <t>البو سلطان(الكرغولية)</t>
  </si>
  <si>
    <t>Hay Al Dobat(Al kragolyia)</t>
  </si>
  <si>
    <t>حي الضباط(الكرغولية)</t>
  </si>
  <si>
    <t>Hay Al Shuhada(Al kragolyia)</t>
  </si>
  <si>
    <t>حي الشهداء(الكرغولية)</t>
  </si>
  <si>
    <t>قرية شبيشة(الكرغولية)</t>
  </si>
  <si>
    <t>Al Taleaa Al Olaa Village(Albo Rai)</t>
  </si>
  <si>
    <t>قرية الطالعة الاولى(البو ري)</t>
  </si>
  <si>
    <t>Al Wehdaa Village(Albo Maree)</t>
  </si>
  <si>
    <t>قرية الوحدة(البو مرعي)</t>
  </si>
  <si>
    <t>قرية البو عواد(البو خيال)</t>
  </si>
  <si>
    <t>Al Shaheed Qtr(Al Zohor)</t>
  </si>
  <si>
    <t>حي الشهيد(الزهور)</t>
  </si>
  <si>
    <t>سراي(مركز بازار)</t>
  </si>
  <si>
    <t>Al-Zawya Village</t>
  </si>
  <si>
    <t>قرية الزاوية</t>
  </si>
  <si>
    <t>IQ-P20251</t>
  </si>
  <si>
    <t>Arfela Village</t>
  </si>
  <si>
    <t>قرية رفيلة</t>
  </si>
  <si>
    <t>Hamam Alaleem Center</t>
  </si>
  <si>
    <t>مركز حمام العليل</t>
  </si>
  <si>
    <t>IQ-P20046</t>
  </si>
  <si>
    <t>Sedawa Village</t>
  </si>
  <si>
    <t>قرية سيداوة</t>
  </si>
  <si>
    <t>Shura Center</t>
  </si>
  <si>
    <t>الشورى</t>
  </si>
  <si>
    <t>IQ-P20195</t>
  </si>
  <si>
    <t>Shwerat Village</t>
  </si>
  <si>
    <t>قرية الشويرات</t>
  </si>
  <si>
    <t>IQ-P20194</t>
  </si>
  <si>
    <t>Tlul Nasir Village</t>
  </si>
  <si>
    <t>قرية تلول ناصر</t>
  </si>
  <si>
    <t>IQ-P20232</t>
  </si>
  <si>
    <t>Al Fajir village(Al Tasni)</t>
  </si>
  <si>
    <t>قرية الخصم الجديدة(القليصات)</t>
  </si>
  <si>
    <t>قريةالعيثة(جرناف شرقي)</t>
  </si>
  <si>
    <t>محلة الصعيوية م(16)محلة الصعيوية-1</t>
  </si>
  <si>
    <t>الجزيرة(الجزءالجنوبي)سكن متناثر</t>
  </si>
  <si>
    <t>حي المطاردة(قادسية2)مقاطعة 7 محله 218 – قطعه 500</t>
  </si>
  <si>
    <t>حي القلعة(6-تكريت)محلة 405</t>
  </si>
  <si>
    <t>حي العائد(27-الخرجة والعالي)محلة العائد</t>
  </si>
  <si>
    <t>حي الموظفين(27الخرجة والعالي)محلة الموظفين</t>
  </si>
  <si>
    <t>حي المطاردة(قادسية1)مقاطعة 7-محله 214</t>
  </si>
  <si>
    <t>حي المطاردة(قادسية2)مقاطعة 7-محله 216</t>
  </si>
  <si>
    <t>7- Post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</si>
</sst>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5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62"/>
  <sheetViews>
    <sheetView showGridLines="0" zoomScaleNormal="100" workbookViewId="0">
      <selection sqref="A1:E1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8" width="19.28515625" style="19" customWidth="1"/>
    <col min="49" max="49" width="15" bestFit="1" customWidth="1"/>
    <col min="50" max="50" width="11.42578125" bestFit="1" customWidth="1"/>
    <col min="51" max="51" width="12.7109375" bestFit="1" customWidth="1"/>
  </cols>
  <sheetData>
    <row r="1" spans="1:51" ht="21" customHeight="1" x14ac:dyDescent="0.25">
      <c r="A1" s="48" t="s">
        <v>1401</v>
      </c>
      <c r="B1" s="48"/>
      <c r="C1" s="48"/>
      <c r="D1" s="48"/>
      <c r="E1" s="48"/>
    </row>
    <row r="2" spans="1:51" s="19" customFormat="1" ht="10.35" customHeight="1" x14ac:dyDescent="0.25">
      <c r="A2" s="21"/>
      <c r="B2" s="22"/>
      <c r="C2" s="22"/>
      <c r="D2" s="22"/>
    </row>
    <row r="3" spans="1:51" ht="15" customHeight="1" x14ac:dyDescent="0.25">
      <c r="A3" s="51" t="s">
        <v>69</v>
      </c>
      <c r="B3" s="51"/>
      <c r="C3" s="51"/>
      <c r="D3" s="51"/>
      <c r="E3" s="51"/>
      <c r="F3" s="51"/>
      <c r="G3" s="51"/>
      <c r="H3" s="51"/>
      <c r="I3" s="51"/>
      <c r="J3" s="51"/>
      <c r="K3" s="34"/>
      <c r="L3" s="34"/>
      <c r="M3" s="49" t="s">
        <v>1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 t="s">
        <v>2</v>
      </c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3" t="s">
        <v>3</v>
      </c>
      <c r="AQ3" s="54"/>
      <c r="AR3" s="54"/>
      <c r="AS3" s="54"/>
      <c r="AT3" s="54"/>
      <c r="AU3" s="55"/>
      <c r="AV3" s="44"/>
      <c r="AW3" s="52" t="s">
        <v>58</v>
      </c>
      <c r="AX3" s="52"/>
      <c r="AY3" s="52"/>
    </row>
    <row r="4" spans="1:51" ht="25.5" x14ac:dyDescent="0.25">
      <c r="A4" s="29" t="s">
        <v>63</v>
      </c>
      <c r="B4" s="29" t="s">
        <v>4</v>
      </c>
      <c r="C4" s="29" t="s">
        <v>5</v>
      </c>
      <c r="D4" s="29" t="s">
        <v>64</v>
      </c>
      <c r="E4" s="29" t="s">
        <v>65</v>
      </c>
      <c r="F4" s="29" t="s">
        <v>6</v>
      </c>
      <c r="G4" s="29" t="s">
        <v>7</v>
      </c>
      <c r="H4" s="29" t="s">
        <v>66</v>
      </c>
      <c r="I4" s="29" t="s">
        <v>67</v>
      </c>
      <c r="J4" s="29" t="s">
        <v>68</v>
      </c>
      <c r="K4" s="35" t="s">
        <v>56</v>
      </c>
      <c r="L4" s="35" t="s">
        <v>57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62</v>
      </c>
      <c r="AO4" s="29" t="s">
        <v>36</v>
      </c>
      <c r="AP4" s="37" t="s">
        <v>70</v>
      </c>
      <c r="AQ4" s="37" t="s">
        <v>71</v>
      </c>
      <c r="AR4" s="37" t="s">
        <v>72</v>
      </c>
      <c r="AS4" s="37" t="s">
        <v>73</v>
      </c>
      <c r="AT4" s="37" t="s">
        <v>74</v>
      </c>
      <c r="AU4" s="41" t="s">
        <v>75</v>
      </c>
      <c r="AV4" s="41" t="s">
        <v>1400</v>
      </c>
      <c r="AW4" s="39" t="s">
        <v>59</v>
      </c>
      <c r="AX4" s="39" t="s">
        <v>60</v>
      </c>
      <c r="AY4" s="39" t="s">
        <v>61</v>
      </c>
    </row>
    <row r="5" spans="1:51" x14ac:dyDescent="0.25">
      <c r="A5" s="31">
        <v>150</v>
      </c>
      <c r="B5" s="32" t="s">
        <v>8</v>
      </c>
      <c r="C5" s="32" t="s">
        <v>760</v>
      </c>
      <c r="D5" s="32" t="s">
        <v>972</v>
      </c>
      <c r="E5" s="32" t="s">
        <v>761</v>
      </c>
      <c r="F5" s="32">
        <v>33.038459000000003</v>
      </c>
      <c r="G5" s="32">
        <v>40.293291000000004</v>
      </c>
      <c r="H5" s="32" t="s">
        <v>79</v>
      </c>
      <c r="I5" s="32" t="s">
        <v>762</v>
      </c>
      <c r="J5" s="32" t="s">
        <v>763</v>
      </c>
      <c r="K5" s="33">
        <v>284</v>
      </c>
      <c r="L5" s="33">
        <v>1704</v>
      </c>
      <c r="M5" s="33">
        <v>91</v>
      </c>
      <c r="N5" s="33"/>
      <c r="O5" s="33"/>
      <c r="P5" s="33"/>
      <c r="Q5" s="33"/>
      <c r="R5" s="33"/>
      <c r="S5" s="33">
        <v>193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284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>
        <v>193</v>
      </c>
      <c r="AR5" s="33"/>
      <c r="AS5" s="33"/>
      <c r="AT5" s="33"/>
      <c r="AU5" s="33">
        <v>91</v>
      </c>
      <c r="AV5" s="33"/>
      <c r="AW5" s="38" t="str">
        <f>HYPERLINK("http://www.openstreetmap.org/?mlat=33.0385&amp;mlon=40.2933&amp;zoom=12#map=12/33.0385/40.2933","Maplink1")</f>
        <v>Maplink1</v>
      </c>
      <c r="AX5" s="38" t="str">
        <f>HYPERLINK("https://www.google.iq/maps/search/+33.0385,40.2933/@33.0385,40.2933,14z?hl=en","Maplink2")</f>
        <v>Maplink2</v>
      </c>
      <c r="AY5" s="38" t="str">
        <f>HYPERLINK("http://www.bing.com/maps/?lvl=14&amp;sty=h&amp;cp=33.0385~40.2933&amp;sp=point.33.0385_40.2933","Maplink3")</f>
        <v>Maplink3</v>
      </c>
    </row>
    <row r="6" spans="1:51" x14ac:dyDescent="0.25">
      <c r="A6" s="9">
        <v>167</v>
      </c>
      <c r="B6" s="10" t="s">
        <v>8</v>
      </c>
      <c r="C6" s="10" t="s">
        <v>760</v>
      </c>
      <c r="D6" s="10" t="s">
        <v>973</v>
      </c>
      <c r="E6" s="10" t="s">
        <v>764</v>
      </c>
      <c r="F6" s="10">
        <v>33.041953999999997</v>
      </c>
      <c r="G6" s="10">
        <v>40.275979999999997</v>
      </c>
      <c r="H6" s="10" t="s">
        <v>79</v>
      </c>
      <c r="I6" s="10" t="s">
        <v>762</v>
      </c>
      <c r="J6" s="10" t="s">
        <v>765</v>
      </c>
      <c r="K6" s="11">
        <v>600</v>
      </c>
      <c r="L6" s="11">
        <v>3600</v>
      </c>
      <c r="M6" s="11">
        <v>370</v>
      </c>
      <c r="N6" s="11"/>
      <c r="O6" s="11">
        <v>230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600</v>
      </c>
      <c r="AG6" s="11"/>
      <c r="AH6" s="11"/>
      <c r="AI6" s="11"/>
      <c r="AJ6" s="11"/>
      <c r="AK6" s="11"/>
      <c r="AL6" s="11"/>
      <c r="AM6" s="11"/>
      <c r="AN6" s="11"/>
      <c r="AO6" s="11"/>
      <c r="AP6" s="11">
        <v>230</v>
      </c>
      <c r="AQ6" s="11"/>
      <c r="AR6" s="11"/>
      <c r="AS6" s="11"/>
      <c r="AT6" s="11"/>
      <c r="AU6" s="11">
        <v>370</v>
      </c>
      <c r="AV6" s="11"/>
      <c r="AW6" s="20" t="str">
        <f>HYPERLINK("http://www.openstreetmap.org/?mlat=33.042&amp;mlon=40.276&amp;zoom=12#map=12/33.042/40.276","Maplink1")</f>
        <v>Maplink1</v>
      </c>
      <c r="AX6" s="20" t="str">
        <f>HYPERLINK("https://www.google.iq/maps/search/+33.042,40.276/@33.042,40.276,14z?hl=en","Maplink2")</f>
        <v>Maplink2</v>
      </c>
      <c r="AY6" s="20" t="str">
        <f>HYPERLINK("http://www.bing.com/maps/?lvl=14&amp;sty=h&amp;cp=33.042~40.276&amp;sp=point.33.042_40.276","Maplink3")</f>
        <v>Maplink3</v>
      </c>
    </row>
    <row r="7" spans="1:51" x14ac:dyDescent="0.25">
      <c r="A7" s="9">
        <v>233</v>
      </c>
      <c r="B7" s="10" t="s">
        <v>8</v>
      </c>
      <c r="C7" s="10" t="s">
        <v>760</v>
      </c>
      <c r="D7" s="10" t="s">
        <v>974</v>
      </c>
      <c r="E7" s="10" t="s">
        <v>355</v>
      </c>
      <c r="F7" s="10">
        <v>33.038566000000003</v>
      </c>
      <c r="G7" s="10">
        <v>40.285538000000003</v>
      </c>
      <c r="H7" s="10" t="s">
        <v>79</v>
      </c>
      <c r="I7" s="10" t="s">
        <v>762</v>
      </c>
      <c r="J7" s="10" t="s">
        <v>766</v>
      </c>
      <c r="K7" s="11">
        <v>432</v>
      </c>
      <c r="L7" s="11">
        <v>2592</v>
      </c>
      <c r="M7" s="11">
        <v>245</v>
      </c>
      <c r="N7" s="11"/>
      <c r="O7" s="11">
        <v>187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432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>
        <v>187</v>
      </c>
      <c r="AT7" s="11"/>
      <c r="AU7" s="11">
        <v>245</v>
      </c>
      <c r="AV7" s="11"/>
      <c r="AW7" s="20" t="str">
        <f>HYPERLINK("http://www.openstreetmap.org/?mlat=33.0386&amp;mlon=40.2855&amp;zoom=12#map=12/33.0386/40.2855","Maplink1")</f>
        <v>Maplink1</v>
      </c>
      <c r="AX7" s="20" t="str">
        <f>HYPERLINK("https://www.google.iq/maps/search/+33.0386,40.2855/@33.0386,40.2855,14z?hl=en","Maplink2")</f>
        <v>Maplink2</v>
      </c>
      <c r="AY7" s="20" t="str">
        <f>HYPERLINK("http://www.bing.com/maps/?lvl=14&amp;sty=h&amp;cp=33.0386~40.2855&amp;sp=point.33.0386_40.2855","Maplink3")</f>
        <v>Maplink3</v>
      </c>
    </row>
    <row r="8" spans="1:51" x14ac:dyDescent="0.25">
      <c r="A8" s="9">
        <v>23888</v>
      </c>
      <c r="B8" s="10" t="s">
        <v>8</v>
      </c>
      <c r="C8" s="10" t="s">
        <v>760</v>
      </c>
      <c r="D8" s="10" t="s">
        <v>975</v>
      </c>
      <c r="E8" s="10" t="s">
        <v>767</v>
      </c>
      <c r="F8" s="10">
        <v>33.037021000000003</v>
      </c>
      <c r="G8" s="10">
        <v>40.279730999999998</v>
      </c>
      <c r="H8" s="10" t="s">
        <v>79</v>
      </c>
      <c r="I8" s="10" t="s">
        <v>762</v>
      </c>
      <c r="J8" s="10" t="s">
        <v>768</v>
      </c>
      <c r="K8" s="11">
        <v>384</v>
      </c>
      <c r="L8" s="11">
        <v>2304</v>
      </c>
      <c r="M8" s="11">
        <v>210</v>
      </c>
      <c r="N8" s="11"/>
      <c r="O8" s="11"/>
      <c r="P8" s="11"/>
      <c r="Q8" s="11"/>
      <c r="R8" s="11"/>
      <c r="S8" s="11">
        <v>174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384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>
        <v>174</v>
      </c>
      <c r="AR8" s="11"/>
      <c r="AS8" s="11"/>
      <c r="AT8" s="11"/>
      <c r="AU8" s="11">
        <v>210</v>
      </c>
      <c r="AV8" s="11"/>
      <c r="AW8" s="20" t="str">
        <f>HYPERLINK("http://www.openstreetmap.org/?mlat=33.037&amp;mlon=40.2797&amp;zoom=12#map=12/33.037/40.2797","Maplink1")</f>
        <v>Maplink1</v>
      </c>
      <c r="AX8" s="20" t="str">
        <f>HYPERLINK("https://www.google.iq/maps/search/+33.037,40.2797/@33.037,40.2797,14z?hl=en","Maplink2")</f>
        <v>Maplink2</v>
      </c>
      <c r="AY8" s="20" t="str">
        <f>HYPERLINK("http://www.bing.com/maps/?lvl=14&amp;sty=h&amp;cp=33.037~40.2797&amp;sp=point.33.037_40.2797","Maplink3")</f>
        <v>Maplink3</v>
      </c>
    </row>
    <row r="9" spans="1:51" x14ac:dyDescent="0.25">
      <c r="A9" s="9">
        <v>23801</v>
      </c>
      <c r="B9" s="10" t="s">
        <v>8</v>
      </c>
      <c r="C9" s="10" t="s">
        <v>78</v>
      </c>
      <c r="D9" s="10" t="s">
        <v>976</v>
      </c>
      <c r="E9" s="10" t="s">
        <v>930</v>
      </c>
      <c r="F9" s="10">
        <v>33.360467999999997</v>
      </c>
      <c r="G9" s="10">
        <v>43.710402000000002</v>
      </c>
      <c r="H9" s="10" t="s">
        <v>79</v>
      </c>
      <c r="I9" s="10" t="s">
        <v>80</v>
      </c>
      <c r="J9" s="10" t="s">
        <v>931</v>
      </c>
      <c r="K9" s="11">
        <v>247</v>
      </c>
      <c r="L9" s="11">
        <v>1482</v>
      </c>
      <c r="M9" s="11">
        <v>247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247</v>
      </c>
      <c r="AG9" s="11"/>
      <c r="AH9" s="11"/>
      <c r="AI9" s="11"/>
      <c r="AJ9" s="11"/>
      <c r="AK9" s="11"/>
      <c r="AL9" s="11"/>
      <c r="AM9" s="11"/>
      <c r="AN9" s="11"/>
      <c r="AO9" s="11"/>
      <c r="AP9" s="11">
        <v>247</v>
      </c>
      <c r="AQ9" s="11"/>
      <c r="AR9" s="11"/>
      <c r="AS9" s="11"/>
      <c r="AT9" s="11"/>
      <c r="AU9" s="11"/>
      <c r="AV9" s="11"/>
      <c r="AW9" s="20" t="str">
        <f>HYPERLINK("http://www.openstreetmap.org/?mlat=33.3605&amp;mlon=43.7104&amp;zoom=12#map=12/33.3605/43.7104","Maplink1")</f>
        <v>Maplink1</v>
      </c>
      <c r="AX9" s="20" t="str">
        <f>HYPERLINK("https://www.google.iq/maps/search/+33.3605,43.7104/@33.3605,43.7104,14z?hl=en","Maplink2")</f>
        <v>Maplink2</v>
      </c>
      <c r="AY9" s="20" t="str">
        <f>HYPERLINK("http://www.bing.com/maps/?lvl=14&amp;sty=h&amp;cp=33.3605~43.7104&amp;sp=point.33.3605_43.7104","Maplink3")</f>
        <v>Maplink3</v>
      </c>
    </row>
    <row r="10" spans="1:51" x14ac:dyDescent="0.25">
      <c r="A10" s="9">
        <v>20899</v>
      </c>
      <c r="B10" s="10" t="s">
        <v>8</v>
      </c>
      <c r="C10" s="10" t="s">
        <v>78</v>
      </c>
      <c r="D10" s="10" t="s">
        <v>977</v>
      </c>
      <c r="E10" s="10" t="s">
        <v>932</v>
      </c>
      <c r="F10" s="10">
        <v>33.244751000000001</v>
      </c>
      <c r="G10" s="10">
        <v>43.741095999999999</v>
      </c>
      <c r="H10" s="10" t="s">
        <v>79</v>
      </c>
      <c r="I10" s="10" t="s">
        <v>80</v>
      </c>
      <c r="J10" s="10" t="s">
        <v>933</v>
      </c>
      <c r="K10" s="11">
        <v>1504</v>
      </c>
      <c r="L10" s="11">
        <v>9024</v>
      </c>
      <c r="M10" s="11">
        <v>1161</v>
      </c>
      <c r="N10" s="11"/>
      <c r="O10" s="11">
        <v>263</v>
      </c>
      <c r="P10" s="11"/>
      <c r="Q10" s="11"/>
      <c r="R10" s="11"/>
      <c r="S10" s="11"/>
      <c r="T10" s="11"/>
      <c r="U10" s="11">
        <v>80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1504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>
        <v>464</v>
      </c>
      <c r="AQ10" s="11"/>
      <c r="AR10" s="11"/>
      <c r="AS10" s="11"/>
      <c r="AT10" s="11">
        <v>624</v>
      </c>
      <c r="AU10" s="11">
        <v>416</v>
      </c>
      <c r="AV10" s="11"/>
      <c r="AW10" s="20" t="str">
        <f>HYPERLINK("http://www.openstreetmap.org/?mlat=33.2448&amp;mlon=43.7411&amp;zoom=12#map=12/33.2448/43.7411","Maplink1")</f>
        <v>Maplink1</v>
      </c>
      <c r="AX10" s="20" t="str">
        <f>HYPERLINK("https://www.google.iq/maps/search/+33.2448,43.7411/@33.2448,43.7411,14z?hl=en","Maplink2")</f>
        <v>Maplink2</v>
      </c>
      <c r="AY10" s="20" t="str">
        <f>HYPERLINK("http://www.bing.com/maps/?lvl=14&amp;sty=h&amp;cp=33.2448~43.7411&amp;sp=point.33.2448_43.7411","Maplink3")</f>
        <v>Maplink3</v>
      </c>
    </row>
    <row r="11" spans="1:51" x14ac:dyDescent="0.25">
      <c r="A11" s="9">
        <v>22864</v>
      </c>
      <c r="B11" s="10" t="s">
        <v>8</v>
      </c>
      <c r="C11" s="10" t="s">
        <v>78</v>
      </c>
      <c r="D11" s="10" t="s">
        <v>978</v>
      </c>
      <c r="E11" s="10" t="s">
        <v>979</v>
      </c>
      <c r="F11" s="10">
        <v>33.279702999999998</v>
      </c>
      <c r="G11" s="10">
        <v>43.795606999999997</v>
      </c>
      <c r="H11" s="10" t="s">
        <v>79</v>
      </c>
      <c r="I11" s="10" t="s">
        <v>80</v>
      </c>
      <c r="J11" s="10" t="s">
        <v>980</v>
      </c>
      <c r="K11" s="11">
        <v>269</v>
      </c>
      <c r="L11" s="11">
        <v>1614</v>
      </c>
      <c r="M11" s="11">
        <v>206</v>
      </c>
      <c r="N11" s="11"/>
      <c r="O11" s="11"/>
      <c r="P11" s="11"/>
      <c r="Q11" s="11"/>
      <c r="R11" s="11"/>
      <c r="S11" s="11"/>
      <c r="T11" s="11"/>
      <c r="U11" s="11">
        <v>63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269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v>63</v>
      </c>
      <c r="AQ11" s="11"/>
      <c r="AR11" s="11"/>
      <c r="AS11" s="11"/>
      <c r="AT11" s="11"/>
      <c r="AU11" s="11">
        <v>206</v>
      </c>
      <c r="AV11" s="11"/>
      <c r="AW11" s="20" t="str">
        <f>HYPERLINK("http://www.openstreetmap.org/?mlat=33.2797&amp;mlon=43.7956&amp;zoom=12#map=12/33.2797/43.7956","Maplink1")</f>
        <v>Maplink1</v>
      </c>
      <c r="AX11" s="20" t="str">
        <f>HYPERLINK("https://www.google.iq/maps/search/+33.2797,43.7956/@33.2797,43.7956,14z?hl=en","Maplink2")</f>
        <v>Maplink2</v>
      </c>
      <c r="AY11" s="20" t="str">
        <f>HYPERLINK("http://www.bing.com/maps/?lvl=14&amp;sty=h&amp;cp=33.2797~43.7956&amp;sp=point.33.2797_43.7956","Maplink3")</f>
        <v>Maplink3</v>
      </c>
    </row>
    <row r="12" spans="1:51" x14ac:dyDescent="0.25">
      <c r="A12" s="9">
        <v>21742</v>
      </c>
      <c r="B12" s="10" t="s">
        <v>8</v>
      </c>
      <c r="C12" s="10" t="s">
        <v>78</v>
      </c>
      <c r="D12" s="10" t="s">
        <v>1402</v>
      </c>
      <c r="E12" s="10" t="s">
        <v>1403</v>
      </c>
      <c r="F12" s="10">
        <v>33.434659000000003</v>
      </c>
      <c r="G12" s="10">
        <v>43.963735</v>
      </c>
      <c r="H12" s="10" t="s">
        <v>79</v>
      </c>
      <c r="I12" s="10" t="s">
        <v>80</v>
      </c>
      <c r="J12" s="10" t="s">
        <v>981</v>
      </c>
      <c r="K12" s="11">
        <v>441</v>
      </c>
      <c r="L12" s="11">
        <v>2646</v>
      </c>
      <c r="M12" s="11">
        <v>441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441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>
        <v>96</v>
      </c>
      <c r="AQ12" s="11">
        <v>42</v>
      </c>
      <c r="AR12" s="11"/>
      <c r="AS12" s="11"/>
      <c r="AT12" s="11">
        <v>303</v>
      </c>
      <c r="AU12" s="11"/>
      <c r="AV12" s="11"/>
      <c r="AW12" s="20" t="str">
        <f>HYPERLINK("http://www.openstreetmap.org/?mlat=33.4347&amp;mlon=43.9637&amp;zoom=12#map=12/33.4347/43.9637","Maplink1")</f>
        <v>Maplink1</v>
      </c>
      <c r="AX12" s="20" t="str">
        <f>HYPERLINK("https://www.google.iq/maps/search/+33.4347,43.9637/@33.4347,43.9637,14z?hl=en","Maplink2")</f>
        <v>Maplink2</v>
      </c>
      <c r="AY12" s="20" t="str">
        <f>HYPERLINK("http://www.bing.com/maps/?lvl=14&amp;sty=h&amp;cp=33.4347~43.9637&amp;sp=point.33.4347_43.9637","Maplink3")</f>
        <v>Maplink3</v>
      </c>
    </row>
    <row r="13" spans="1:51" x14ac:dyDescent="0.25">
      <c r="A13" s="9">
        <v>122</v>
      </c>
      <c r="B13" s="10" t="s">
        <v>8</v>
      </c>
      <c r="C13" s="10" t="s">
        <v>78</v>
      </c>
      <c r="D13" s="10" t="s">
        <v>1290</v>
      </c>
      <c r="E13" s="10" t="s">
        <v>1291</v>
      </c>
      <c r="F13" s="10">
        <v>33.362133</v>
      </c>
      <c r="G13" s="10">
        <v>43.780704999999998</v>
      </c>
      <c r="H13" s="10" t="s">
        <v>79</v>
      </c>
      <c r="I13" s="10" t="s">
        <v>80</v>
      </c>
      <c r="J13" s="10" t="s">
        <v>1292</v>
      </c>
      <c r="K13" s="11">
        <v>1101</v>
      </c>
      <c r="L13" s="11">
        <v>6606</v>
      </c>
      <c r="M13" s="11">
        <v>701</v>
      </c>
      <c r="N13" s="11"/>
      <c r="O13" s="11"/>
      <c r="P13" s="11"/>
      <c r="Q13" s="11"/>
      <c r="R13" s="11"/>
      <c r="S13" s="11">
        <v>341</v>
      </c>
      <c r="T13" s="11"/>
      <c r="U13" s="11">
        <v>59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1101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>
        <v>558</v>
      </c>
      <c r="AQ13" s="11"/>
      <c r="AR13" s="11"/>
      <c r="AS13" s="11">
        <v>114</v>
      </c>
      <c r="AT13" s="11">
        <v>344</v>
      </c>
      <c r="AU13" s="11">
        <v>85</v>
      </c>
      <c r="AV13" s="11"/>
      <c r="AW13" s="20" t="str">
        <f>HYPERLINK("http://www.openstreetmap.org/?mlat=33.3621&amp;mlon=43.7807&amp;zoom=12#map=12/33.3621/43.7807","Maplink1")</f>
        <v>Maplink1</v>
      </c>
      <c r="AX13" s="20" t="str">
        <f>HYPERLINK("https://www.google.iq/maps/search/+33.3621,43.7807/@33.3621,43.7807,14z?hl=en","Maplink2")</f>
        <v>Maplink2</v>
      </c>
      <c r="AY13" s="20" t="str">
        <f>HYPERLINK("http://www.bing.com/maps/?lvl=14&amp;sty=h&amp;cp=33.3621~43.7807&amp;sp=point.33.3621_43.7807","Maplink3")</f>
        <v>Maplink3</v>
      </c>
    </row>
    <row r="14" spans="1:51" x14ac:dyDescent="0.25">
      <c r="A14" s="9">
        <v>179</v>
      </c>
      <c r="B14" s="10" t="s">
        <v>8</v>
      </c>
      <c r="C14" s="10" t="s">
        <v>78</v>
      </c>
      <c r="D14" s="10" t="s">
        <v>1293</v>
      </c>
      <c r="E14" s="10" t="s">
        <v>1294</v>
      </c>
      <c r="F14" s="10">
        <v>33.302100099999997</v>
      </c>
      <c r="G14" s="10">
        <v>43.806984999999997</v>
      </c>
      <c r="H14" s="10" t="s">
        <v>79</v>
      </c>
      <c r="I14" s="10" t="s">
        <v>80</v>
      </c>
      <c r="J14" s="10" t="s">
        <v>1295</v>
      </c>
      <c r="K14" s="11">
        <v>263</v>
      </c>
      <c r="L14" s="11">
        <v>1578</v>
      </c>
      <c r="M14" s="11">
        <v>263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263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>
        <v>89</v>
      </c>
      <c r="AQ14" s="11"/>
      <c r="AR14" s="11"/>
      <c r="AS14" s="11"/>
      <c r="AT14" s="11">
        <v>174</v>
      </c>
      <c r="AU14" s="11"/>
      <c r="AV14" s="11"/>
      <c r="AW14" s="20" t="str">
        <f>HYPERLINK("http://www.openstreetmap.org/?mlat=33.3021&amp;mlon=43.807&amp;zoom=12#map=12/33.3021/43.807","Maplink1")</f>
        <v>Maplink1</v>
      </c>
      <c r="AX14" s="20" t="str">
        <f>HYPERLINK("https://www.google.iq/maps/search/+33.3021,43.807/@33.3021,43.807,14z?hl=en","Maplink2")</f>
        <v>Maplink2</v>
      </c>
      <c r="AY14" s="20" t="str">
        <f>HYPERLINK("http://www.bing.com/maps/?lvl=14&amp;sty=h&amp;cp=33.3021~43.807&amp;sp=point.33.3021_43.807","Maplink3")</f>
        <v>Maplink3</v>
      </c>
    </row>
    <row r="15" spans="1:51" x14ac:dyDescent="0.25">
      <c r="A15" s="9">
        <v>143</v>
      </c>
      <c r="B15" s="10" t="s">
        <v>8</v>
      </c>
      <c r="C15" s="10" t="s">
        <v>78</v>
      </c>
      <c r="D15" s="10" t="s">
        <v>982</v>
      </c>
      <c r="E15" s="10" t="s">
        <v>934</v>
      </c>
      <c r="F15" s="10">
        <v>33.386118000000003</v>
      </c>
      <c r="G15" s="10">
        <v>43.90437</v>
      </c>
      <c r="H15" s="10" t="s">
        <v>79</v>
      </c>
      <c r="I15" s="10" t="s">
        <v>80</v>
      </c>
      <c r="J15" s="10" t="s">
        <v>935</v>
      </c>
      <c r="K15" s="11">
        <v>1087</v>
      </c>
      <c r="L15" s="11">
        <v>6522</v>
      </c>
      <c r="M15" s="11">
        <v>1087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1087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>
        <v>261</v>
      </c>
      <c r="AQ15" s="11"/>
      <c r="AR15" s="11"/>
      <c r="AS15" s="11"/>
      <c r="AT15" s="11">
        <v>826</v>
      </c>
      <c r="AU15" s="11"/>
      <c r="AV15" s="11"/>
      <c r="AW15" s="20" t="str">
        <f>HYPERLINK("http://www.openstreetmap.org/?mlat=33.3861&amp;mlon=43.9044&amp;zoom=12#map=12/33.3861/43.9044","Maplink1")</f>
        <v>Maplink1</v>
      </c>
      <c r="AX15" s="20" t="str">
        <f>HYPERLINK("https://www.google.iq/maps/search/+33.3861,43.9044/@33.3861,43.9044,14z?hl=en","Maplink2")</f>
        <v>Maplink2</v>
      </c>
      <c r="AY15" s="20" t="str">
        <f>HYPERLINK("http://www.bing.com/maps/?lvl=14&amp;sty=h&amp;cp=33.3861~43.9044&amp;sp=point.33.3861_43.9044","Maplink3")</f>
        <v>Maplink3</v>
      </c>
    </row>
    <row r="16" spans="1:51" x14ac:dyDescent="0.25">
      <c r="A16" s="9">
        <v>142</v>
      </c>
      <c r="B16" s="10" t="s">
        <v>8</v>
      </c>
      <c r="C16" s="10" t="s">
        <v>78</v>
      </c>
      <c r="D16" s="10" t="s">
        <v>983</v>
      </c>
      <c r="E16" s="10" t="s">
        <v>936</v>
      </c>
      <c r="F16" s="10">
        <v>33.384627999999999</v>
      </c>
      <c r="G16" s="10">
        <v>43.876576999999997</v>
      </c>
      <c r="H16" s="10" t="s">
        <v>79</v>
      </c>
      <c r="I16" s="10" t="s">
        <v>80</v>
      </c>
      <c r="J16" s="10" t="s">
        <v>937</v>
      </c>
      <c r="K16" s="11">
        <v>1238</v>
      </c>
      <c r="L16" s="11">
        <v>7428</v>
      </c>
      <c r="M16" s="11">
        <v>1238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1238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>
        <v>1238</v>
      </c>
      <c r="AU16" s="11"/>
      <c r="AV16" s="11"/>
      <c r="AW16" s="20" t="str">
        <f>HYPERLINK("http://www.openstreetmap.org/?mlat=33.3846&amp;mlon=43.8766&amp;zoom=12#map=12/33.3846/43.8766","Maplink1")</f>
        <v>Maplink1</v>
      </c>
      <c r="AX16" s="20" t="str">
        <f>HYPERLINK("https://www.google.iq/maps/search/+33.3846,43.8766/@33.3846,43.8766,14z?hl=en","Maplink2")</f>
        <v>Maplink2</v>
      </c>
      <c r="AY16" s="20" t="str">
        <f>HYPERLINK("http://www.bing.com/maps/?lvl=14&amp;sty=h&amp;cp=33.3846~43.8766&amp;sp=point.33.3846_43.8766","Maplink3")</f>
        <v>Maplink3</v>
      </c>
    </row>
    <row r="17" spans="1:51" x14ac:dyDescent="0.25">
      <c r="A17" s="9">
        <v>169</v>
      </c>
      <c r="B17" s="10" t="s">
        <v>8</v>
      </c>
      <c r="C17" s="10" t="s">
        <v>78</v>
      </c>
      <c r="D17" s="10" t="s">
        <v>984</v>
      </c>
      <c r="E17" s="10" t="s">
        <v>985</v>
      </c>
      <c r="F17" s="10">
        <v>33.364052999999998</v>
      </c>
      <c r="G17" s="10">
        <v>43.789718999999998</v>
      </c>
      <c r="H17" s="10" t="s">
        <v>79</v>
      </c>
      <c r="I17" s="10" t="s">
        <v>80</v>
      </c>
      <c r="J17" s="10" t="s">
        <v>986</v>
      </c>
      <c r="K17" s="11">
        <v>1487</v>
      </c>
      <c r="L17" s="11">
        <v>8922</v>
      </c>
      <c r="M17" s="11">
        <v>1199</v>
      </c>
      <c r="N17" s="11"/>
      <c r="O17" s="11"/>
      <c r="P17" s="11"/>
      <c r="Q17" s="11"/>
      <c r="R17" s="11"/>
      <c r="S17" s="11">
        <v>193</v>
      </c>
      <c r="T17" s="11"/>
      <c r="U17" s="11">
        <v>95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1487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>
        <v>792</v>
      </c>
      <c r="AQ17" s="11"/>
      <c r="AR17" s="11"/>
      <c r="AS17" s="11"/>
      <c r="AT17" s="11">
        <v>556</v>
      </c>
      <c r="AU17" s="11">
        <v>139</v>
      </c>
      <c r="AV17" s="11"/>
      <c r="AW17" s="20" t="str">
        <f>HYPERLINK("http://www.openstreetmap.org/?mlat=33.3641&amp;mlon=43.7897&amp;zoom=12#map=12/33.3641/43.7897","Maplink1")</f>
        <v>Maplink1</v>
      </c>
      <c r="AX17" s="20" t="str">
        <f>HYPERLINK("https://www.google.iq/maps/search/+33.3641,43.7897/@33.3641,43.7897,14z?hl=en","Maplink2")</f>
        <v>Maplink2</v>
      </c>
      <c r="AY17" s="20" t="str">
        <f>HYPERLINK("http://www.bing.com/maps/?lvl=14&amp;sty=h&amp;cp=33.3641~43.7897&amp;sp=point.33.3641_43.7897","Maplink3")</f>
        <v>Maplink3</v>
      </c>
    </row>
    <row r="18" spans="1:51" x14ac:dyDescent="0.25">
      <c r="A18" s="9">
        <v>319</v>
      </c>
      <c r="B18" s="10" t="s">
        <v>8</v>
      </c>
      <c r="C18" s="10" t="s">
        <v>78</v>
      </c>
      <c r="D18" s="10" t="s">
        <v>987</v>
      </c>
      <c r="E18" s="10" t="s">
        <v>938</v>
      </c>
      <c r="F18" s="10">
        <v>33.339576000000001</v>
      </c>
      <c r="G18" s="10">
        <v>43.752777999999999</v>
      </c>
      <c r="H18" s="10" t="s">
        <v>79</v>
      </c>
      <c r="I18" s="10" t="s">
        <v>80</v>
      </c>
      <c r="J18" s="10" t="s">
        <v>939</v>
      </c>
      <c r="K18" s="11">
        <v>1675</v>
      </c>
      <c r="L18" s="11">
        <v>10050</v>
      </c>
      <c r="M18" s="11">
        <v>1405</v>
      </c>
      <c r="N18" s="11"/>
      <c r="O18" s="11">
        <v>189</v>
      </c>
      <c r="P18" s="11"/>
      <c r="Q18" s="11"/>
      <c r="R18" s="11"/>
      <c r="S18" s="11"/>
      <c r="T18" s="11"/>
      <c r="U18" s="11">
        <v>81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1675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v>699</v>
      </c>
      <c r="AQ18" s="11"/>
      <c r="AR18" s="11"/>
      <c r="AS18" s="11">
        <v>81</v>
      </c>
      <c r="AT18" s="11">
        <v>705</v>
      </c>
      <c r="AU18" s="11">
        <v>190</v>
      </c>
      <c r="AV18" s="11"/>
      <c r="AW18" s="20" t="str">
        <f>HYPERLINK("http://www.openstreetmap.org/?mlat=33.3396&amp;mlon=43.7528&amp;zoom=12#map=12/33.3396/43.7528","Maplink1")</f>
        <v>Maplink1</v>
      </c>
      <c r="AX18" s="20" t="str">
        <f>HYPERLINK("https://www.google.iq/maps/search/+33.3396,43.7528/@33.3396,43.7528,14z?hl=en","Maplink2")</f>
        <v>Maplink2</v>
      </c>
      <c r="AY18" s="20" t="str">
        <f>HYPERLINK("http://www.bing.com/maps/?lvl=14&amp;sty=h&amp;cp=33.3396~43.7528&amp;sp=point.33.3396_43.7528","Maplink3")</f>
        <v>Maplink3</v>
      </c>
    </row>
    <row r="19" spans="1:51" x14ac:dyDescent="0.25">
      <c r="A19" s="9">
        <v>176</v>
      </c>
      <c r="B19" s="10" t="s">
        <v>8</v>
      </c>
      <c r="C19" s="10" t="s">
        <v>78</v>
      </c>
      <c r="D19" s="10" t="s">
        <v>1296</v>
      </c>
      <c r="E19" s="10" t="s">
        <v>1297</v>
      </c>
      <c r="F19" s="10">
        <v>33.349815999999997</v>
      </c>
      <c r="G19" s="10">
        <v>43.772097000000002</v>
      </c>
      <c r="H19" s="10" t="s">
        <v>79</v>
      </c>
      <c r="I19" s="10" t="s">
        <v>80</v>
      </c>
      <c r="J19" s="10" t="s">
        <v>1298</v>
      </c>
      <c r="K19" s="11">
        <v>1265</v>
      </c>
      <c r="L19" s="11">
        <v>7590</v>
      </c>
      <c r="M19" s="11">
        <v>808</v>
      </c>
      <c r="N19" s="11"/>
      <c r="O19" s="11">
        <v>267</v>
      </c>
      <c r="P19" s="11"/>
      <c r="Q19" s="11"/>
      <c r="R19" s="11"/>
      <c r="S19" s="11">
        <v>190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1265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>
        <v>743</v>
      </c>
      <c r="AQ19" s="11"/>
      <c r="AR19" s="11"/>
      <c r="AS19" s="11"/>
      <c r="AT19" s="11">
        <v>319</v>
      </c>
      <c r="AU19" s="11">
        <v>203</v>
      </c>
      <c r="AV19" s="11"/>
      <c r="AW19" s="20" t="str">
        <f>HYPERLINK("http://www.openstreetmap.org/?mlat=33.3498&amp;mlon=43.7721&amp;zoom=12#map=12/33.3498/43.7721","Maplink1")</f>
        <v>Maplink1</v>
      </c>
      <c r="AX19" s="20" t="str">
        <f>HYPERLINK("https://www.google.iq/maps/search/+33.3498,43.7721/@33.3498,43.7721,14z?hl=en","Maplink2")</f>
        <v>Maplink2</v>
      </c>
      <c r="AY19" s="20" t="str">
        <f>HYPERLINK("http://www.bing.com/maps/?lvl=14&amp;sty=h&amp;cp=33.3498~43.7721&amp;sp=point.33.3498_43.7721","Maplink3")</f>
        <v>Maplink3</v>
      </c>
    </row>
    <row r="20" spans="1:51" x14ac:dyDescent="0.25">
      <c r="A20" s="9">
        <v>177</v>
      </c>
      <c r="B20" s="10" t="s">
        <v>8</v>
      </c>
      <c r="C20" s="10" t="s">
        <v>78</v>
      </c>
      <c r="D20" s="10" t="s">
        <v>1299</v>
      </c>
      <c r="E20" s="10" t="s">
        <v>1300</v>
      </c>
      <c r="F20" s="10">
        <v>33.352469999999997</v>
      </c>
      <c r="G20" s="10">
        <v>43.767167999999998</v>
      </c>
      <c r="H20" s="10" t="s">
        <v>79</v>
      </c>
      <c r="I20" s="10" t="s">
        <v>80</v>
      </c>
      <c r="J20" s="10" t="s">
        <v>1301</v>
      </c>
      <c r="K20" s="11">
        <v>747</v>
      </c>
      <c r="L20" s="11">
        <v>4482</v>
      </c>
      <c r="M20" s="11">
        <v>602</v>
      </c>
      <c r="N20" s="11"/>
      <c r="O20" s="11"/>
      <c r="P20" s="11"/>
      <c r="Q20" s="11"/>
      <c r="R20" s="11"/>
      <c r="S20" s="11">
        <v>89</v>
      </c>
      <c r="T20" s="11"/>
      <c r="U20" s="11">
        <v>56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747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>
        <v>209</v>
      </c>
      <c r="AQ20" s="11"/>
      <c r="AR20" s="11"/>
      <c r="AS20" s="11">
        <v>56</v>
      </c>
      <c r="AT20" s="11">
        <v>386</v>
      </c>
      <c r="AU20" s="11">
        <v>96</v>
      </c>
      <c r="AV20" s="11"/>
      <c r="AW20" s="20" t="str">
        <f>HYPERLINK("http://www.openstreetmap.org/?mlat=33.3525&amp;mlon=43.7672&amp;zoom=12#map=12/33.3525/43.7672","Maplink1")</f>
        <v>Maplink1</v>
      </c>
      <c r="AX20" s="20" t="str">
        <f>HYPERLINK("https://www.google.iq/maps/search/+33.3525,43.7672/@33.3525,43.7672,14z?hl=en","Maplink2")</f>
        <v>Maplink2</v>
      </c>
      <c r="AY20" s="20" t="str">
        <f>HYPERLINK("http://www.bing.com/maps/?lvl=14&amp;sty=h&amp;cp=33.3525~43.7672&amp;sp=point.33.3525_43.7672","Maplink3")</f>
        <v>Maplink3</v>
      </c>
    </row>
    <row r="21" spans="1:51" x14ac:dyDescent="0.25">
      <c r="A21" s="9">
        <v>173</v>
      </c>
      <c r="B21" s="10" t="s">
        <v>8</v>
      </c>
      <c r="C21" s="10" t="s">
        <v>78</v>
      </c>
      <c r="D21" s="10" t="s">
        <v>1302</v>
      </c>
      <c r="E21" s="10" t="s">
        <v>1303</v>
      </c>
      <c r="F21" s="10">
        <v>33.353059000000002</v>
      </c>
      <c r="G21" s="10">
        <v>43.772905000000002</v>
      </c>
      <c r="H21" s="10" t="s">
        <v>79</v>
      </c>
      <c r="I21" s="10" t="s">
        <v>80</v>
      </c>
      <c r="J21" s="10" t="s">
        <v>1304</v>
      </c>
      <c r="K21" s="11">
        <v>506</v>
      </c>
      <c r="L21" s="11">
        <v>3036</v>
      </c>
      <c r="M21" s="11">
        <v>408</v>
      </c>
      <c r="N21" s="11"/>
      <c r="O21" s="11"/>
      <c r="P21" s="11"/>
      <c r="Q21" s="11"/>
      <c r="R21" s="11"/>
      <c r="S21" s="11">
        <v>98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506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v>98</v>
      </c>
      <c r="AQ21" s="11"/>
      <c r="AR21" s="11"/>
      <c r="AS21" s="11"/>
      <c r="AT21" s="11">
        <v>408</v>
      </c>
      <c r="AU21" s="11"/>
      <c r="AV21" s="11"/>
      <c r="AW21" s="20" t="str">
        <f>HYPERLINK("http://www.openstreetmap.org/?mlat=33.3531&amp;mlon=43.7729&amp;zoom=12#map=12/33.3531/43.7729","Maplink1")</f>
        <v>Maplink1</v>
      </c>
      <c r="AX21" s="20" t="str">
        <f>HYPERLINK("https://www.google.iq/maps/search/+33.3531,43.7729/@33.3531,43.7729,14z?hl=en","Maplink2")</f>
        <v>Maplink2</v>
      </c>
      <c r="AY21" s="20" t="str">
        <f>HYPERLINK("http://www.bing.com/maps/?lvl=14&amp;sty=h&amp;cp=33.3531~43.7729&amp;sp=point.33.3531_43.7729","Maplink3")</f>
        <v>Maplink3</v>
      </c>
    </row>
    <row r="22" spans="1:51" x14ac:dyDescent="0.25">
      <c r="A22" s="9">
        <v>299</v>
      </c>
      <c r="B22" s="10" t="s">
        <v>8</v>
      </c>
      <c r="C22" s="10" t="s">
        <v>78</v>
      </c>
      <c r="D22" s="10" t="s">
        <v>1305</v>
      </c>
      <c r="E22" s="10" t="s">
        <v>1306</v>
      </c>
      <c r="F22" s="10">
        <v>33.361091000000002</v>
      </c>
      <c r="G22" s="10">
        <v>43.764626</v>
      </c>
      <c r="H22" s="10" t="s">
        <v>79</v>
      </c>
      <c r="I22" s="10" t="s">
        <v>80</v>
      </c>
      <c r="J22" s="10" t="s">
        <v>1307</v>
      </c>
      <c r="K22" s="11">
        <v>1160</v>
      </c>
      <c r="L22" s="11">
        <v>6960</v>
      </c>
      <c r="M22" s="11">
        <v>702</v>
      </c>
      <c r="N22" s="11"/>
      <c r="O22" s="11">
        <v>251</v>
      </c>
      <c r="P22" s="11"/>
      <c r="Q22" s="11"/>
      <c r="R22" s="11"/>
      <c r="S22" s="11">
        <v>207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1160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>
        <v>642</v>
      </c>
      <c r="AQ22" s="11"/>
      <c r="AR22" s="11"/>
      <c r="AS22" s="11"/>
      <c r="AT22" s="11">
        <v>382</v>
      </c>
      <c r="AU22" s="11">
        <v>136</v>
      </c>
      <c r="AV22" s="11"/>
      <c r="AW22" s="20" t="str">
        <f>HYPERLINK("http://www.openstreetmap.org/?mlat=33.3611&amp;mlon=43.7646&amp;zoom=12#map=12/33.3611/43.7646","Maplink1")</f>
        <v>Maplink1</v>
      </c>
      <c r="AX22" s="20" t="str">
        <f>HYPERLINK("https://www.google.iq/maps/search/+33.3611,43.7646/@33.3611,43.7646,14z?hl=en","Maplink2")</f>
        <v>Maplink2</v>
      </c>
      <c r="AY22" s="20" t="str">
        <f>HYPERLINK("http://www.bing.com/maps/?lvl=14&amp;sty=h&amp;cp=33.3611~43.7646&amp;sp=point.33.3611_43.7646","Maplink3")</f>
        <v>Maplink3</v>
      </c>
    </row>
    <row r="23" spans="1:51" x14ac:dyDescent="0.25">
      <c r="A23" s="9">
        <v>178</v>
      </c>
      <c r="B23" s="10" t="s">
        <v>8</v>
      </c>
      <c r="C23" s="10" t="s">
        <v>78</v>
      </c>
      <c r="D23" s="10" t="s">
        <v>1308</v>
      </c>
      <c r="E23" s="10" t="s">
        <v>1309</v>
      </c>
      <c r="F23" s="10">
        <v>33.354215000000003</v>
      </c>
      <c r="G23" s="10">
        <v>43.761924</v>
      </c>
      <c r="H23" s="10" t="s">
        <v>79</v>
      </c>
      <c r="I23" s="10" t="s">
        <v>80</v>
      </c>
      <c r="J23" s="10" t="s">
        <v>1310</v>
      </c>
      <c r="K23" s="11">
        <v>436</v>
      </c>
      <c r="L23" s="11">
        <v>2616</v>
      </c>
      <c r="M23" s="11">
        <v>298</v>
      </c>
      <c r="N23" s="11"/>
      <c r="O23" s="11">
        <v>138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436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>
        <v>138</v>
      </c>
      <c r="AT23" s="11"/>
      <c r="AU23" s="11">
        <v>298</v>
      </c>
      <c r="AV23" s="11"/>
      <c r="AW23" s="20" t="str">
        <f>HYPERLINK("http://www.openstreetmap.org/?mlat=33.3542&amp;mlon=43.7619&amp;zoom=12#map=12/33.3542/43.7619","Maplink1")</f>
        <v>Maplink1</v>
      </c>
      <c r="AX23" s="20" t="str">
        <f>HYPERLINK("https://www.google.iq/maps/search/+33.3542,43.7619/@33.3542,43.7619,14z?hl=en","Maplink2")</f>
        <v>Maplink2</v>
      </c>
      <c r="AY23" s="20" t="str">
        <f>HYPERLINK("http://www.bing.com/maps/?lvl=14&amp;sty=h&amp;cp=33.3542~43.7619&amp;sp=point.33.3542_43.7619","Maplink3")</f>
        <v>Maplink3</v>
      </c>
    </row>
    <row r="24" spans="1:51" x14ac:dyDescent="0.25">
      <c r="A24" s="9">
        <v>148</v>
      </c>
      <c r="B24" s="10" t="s">
        <v>8</v>
      </c>
      <c r="C24" s="10" t="s">
        <v>78</v>
      </c>
      <c r="D24" s="10" t="s">
        <v>1311</v>
      </c>
      <c r="E24" s="10" t="s">
        <v>81</v>
      </c>
      <c r="F24" s="10">
        <v>33.357218000000003</v>
      </c>
      <c r="G24" s="10">
        <v>43.773294</v>
      </c>
      <c r="H24" s="10" t="s">
        <v>79</v>
      </c>
      <c r="I24" s="10" t="s">
        <v>80</v>
      </c>
      <c r="J24" s="10" t="s">
        <v>1312</v>
      </c>
      <c r="K24" s="11">
        <v>241</v>
      </c>
      <c r="L24" s="11">
        <v>1446</v>
      </c>
      <c r="M24" s="11">
        <v>144</v>
      </c>
      <c r="N24" s="11"/>
      <c r="O24" s="11">
        <v>97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241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>
        <v>97</v>
      </c>
      <c r="AT24" s="11">
        <v>144</v>
      </c>
      <c r="AU24" s="11"/>
      <c r="AV24" s="11"/>
      <c r="AW24" s="20" t="str">
        <f>HYPERLINK("http://www.openstreetmap.org/?mlat=33.3572&amp;mlon=43.7733&amp;zoom=12#map=12/33.3572/43.7733","Maplink1")</f>
        <v>Maplink1</v>
      </c>
      <c r="AX24" s="20" t="str">
        <f>HYPERLINK("https://www.google.iq/maps/search/+33.3572,43.7733/@33.3572,43.7733,14z?hl=en","Maplink2")</f>
        <v>Maplink2</v>
      </c>
      <c r="AY24" s="20" t="str">
        <f>HYPERLINK("http://www.bing.com/maps/?lvl=14&amp;sty=h&amp;cp=33.3572~43.7733&amp;sp=point.33.3572_43.7733","Maplink3")</f>
        <v>Maplink3</v>
      </c>
    </row>
    <row r="25" spans="1:51" x14ac:dyDescent="0.25">
      <c r="A25" s="9">
        <v>21615</v>
      </c>
      <c r="B25" s="10" t="s">
        <v>8</v>
      </c>
      <c r="C25" s="10" t="s">
        <v>78</v>
      </c>
      <c r="D25" s="10" t="s">
        <v>988</v>
      </c>
      <c r="E25" s="10" t="s">
        <v>949</v>
      </c>
      <c r="F25" s="10">
        <v>33.383080999999997</v>
      </c>
      <c r="G25" s="10">
        <v>43.698594</v>
      </c>
      <c r="H25" s="10" t="s">
        <v>79</v>
      </c>
      <c r="I25" s="10" t="s">
        <v>80</v>
      </c>
      <c r="J25" s="10" t="s">
        <v>950</v>
      </c>
      <c r="K25" s="11">
        <v>109</v>
      </c>
      <c r="L25" s="11">
        <v>654</v>
      </c>
      <c r="M25" s="11">
        <v>109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109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>
        <v>109</v>
      </c>
      <c r="AU25" s="11"/>
      <c r="AV25" s="11"/>
      <c r="AW25" s="20" t="str">
        <f>HYPERLINK("http://www.openstreetmap.org/?mlat=33.3831&amp;mlon=43.6986&amp;zoom=12#map=12/33.3831/43.6986","Maplink1")</f>
        <v>Maplink1</v>
      </c>
      <c r="AX25" s="20" t="str">
        <f>HYPERLINK("https://www.google.iq/maps/search/+33.3831,43.6986/@33.3831,43.6986,14z?hl=en","Maplink2")</f>
        <v>Maplink2</v>
      </c>
      <c r="AY25" s="20" t="str">
        <f>HYPERLINK("http://www.bing.com/maps/?lvl=14&amp;sty=h&amp;cp=33.3831~43.6986&amp;sp=point.33.3831_43.6986","Maplink3")</f>
        <v>Maplink3</v>
      </c>
    </row>
    <row r="26" spans="1:51" x14ac:dyDescent="0.25">
      <c r="A26" s="9">
        <v>289</v>
      </c>
      <c r="B26" s="10" t="s">
        <v>8</v>
      </c>
      <c r="C26" s="10" t="s">
        <v>78</v>
      </c>
      <c r="D26" s="10" t="s">
        <v>940</v>
      </c>
      <c r="E26" s="10" t="s">
        <v>941</v>
      </c>
      <c r="F26" s="10">
        <v>33.333191999999997</v>
      </c>
      <c r="G26" s="10">
        <v>43.717154000000001</v>
      </c>
      <c r="H26" s="10" t="s">
        <v>79</v>
      </c>
      <c r="I26" s="10" t="s">
        <v>80</v>
      </c>
      <c r="J26" s="10" t="s">
        <v>942</v>
      </c>
      <c r="K26" s="11">
        <v>268</v>
      </c>
      <c r="L26" s="11">
        <v>1608</v>
      </c>
      <c r="M26" s="11">
        <v>268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268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>
        <v>268</v>
      </c>
      <c r="AU26" s="11"/>
      <c r="AV26" s="11"/>
      <c r="AW26" s="20" t="str">
        <f>HYPERLINK("http://www.openstreetmap.org/?mlat=33.3332&amp;mlon=43.7172&amp;zoom=12#map=12/33.3332/43.7172","Maplink1")</f>
        <v>Maplink1</v>
      </c>
      <c r="AX26" s="20" t="str">
        <f>HYPERLINK("https://www.google.iq/maps/search/+33.3332,43.7172/@33.3332,43.7172,14z?hl=en","Maplink2")</f>
        <v>Maplink2</v>
      </c>
      <c r="AY26" s="20" t="str">
        <f>HYPERLINK("http://www.bing.com/maps/?lvl=14&amp;sty=h&amp;cp=33.3332~43.7172&amp;sp=point.33.3332_43.7172","Maplink3")</f>
        <v>Maplink3</v>
      </c>
    </row>
    <row r="27" spans="1:51" x14ac:dyDescent="0.25">
      <c r="A27" s="9">
        <v>315</v>
      </c>
      <c r="B27" s="10" t="s">
        <v>8</v>
      </c>
      <c r="C27" s="10" t="s">
        <v>78</v>
      </c>
      <c r="D27" s="10" t="s">
        <v>989</v>
      </c>
      <c r="E27" s="10" t="s">
        <v>953</v>
      </c>
      <c r="F27" s="10">
        <v>33.391424000000001</v>
      </c>
      <c r="G27" s="10">
        <v>43.832222999999999</v>
      </c>
      <c r="H27" s="10" t="s">
        <v>79</v>
      </c>
      <c r="I27" s="10" t="s">
        <v>80</v>
      </c>
      <c r="J27" s="10" t="s">
        <v>954</v>
      </c>
      <c r="K27" s="11">
        <v>716</v>
      </c>
      <c r="L27" s="11">
        <v>4296</v>
      </c>
      <c r="M27" s="11">
        <v>716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716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>
        <v>189</v>
      </c>
      <c r="AQ27" s="11"/>
      <c r="AR27" s="11"/>
      <c r="AS27" s="11"/>
      <c r="AT27" s="11">
        <v>527</v>
      </c>
      <c r="AU27" s="11"/>
      <c r="AV27" s="11"/>
      <c r="AW27" s="20" t="str">
        <f>HYPERLINK("http://www.openstreetmap.org/?mlat=33.3914&amp;mlon=43.8322&amp;zoom=12#map=12/33.3914/43.8322","Maplink1")</f>
        <v>Maplink1</v>
      </c>
      <c r="AX27" s="20" t="str">
        <f>HYPERLINK("https://www.google.iq/maps/search/+33.3914,43.8322/@33.3914,43.8322,14z?hl=en","Maplink2")</f>
        <v>Maplink2</v>
      </c>
      <c r="AY27" s="20" t="str">
        <f>HYPERLINK("http://www.bing.com/maps/?lvl=14&amp;sty=h&amp;cp=33.3914~43.8322&amp;sp=point.33.3914_43.8322","Maplink3")</f>
        <v>Maplink3</v>
      </c>
    </row>
    <row r="28" spans="1:51" x14ac:dyDescent="0.25">
      <c r="A28" s="9">
        <v>24107</v>
      </c>
      <c r="B28" s="10" t="s">
        <v>8</v>
      </c>
      <c r="C28" s="10" t="s">
        <v>78</v>
      </c>
      <c r="D28" s="10" t="s">
        <v>990</v>
      </c>
      <c r="E28" s="10" t="s">
        <v>1236</v>
      </c>
      <c r="F28" s="10">
        <v>33.411884000000001</v>
      </c>
      <c r="G28" s="10">
        <v>43.856551000000003</v>
      </c>
      <c r="H28" s="10" t="s">
        <v>79</v>
      </c>
      <c r="I28" s="10" t="s">
        <v>80</v>
      </c>
      <c r="J28" s="10" t="s">
        <v>943</v>
      </c>
      <c r="K28" s="11">
        <v>567</v>
      </c>
      <c r="L28" s="11">
        <v>3402</v>
      </c>
      <c r="M28" s="11">
        <v>567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567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v>151</v>
      </c>
      <c r="AQ28" s="11"/>
      <c r="AR28" s="11"/>
      <c r="AS28" s="11"/>
      <c r="AT28" s="11">
        <v>416</v>
      </c>
      <c r="AU28" s="11"/>
      <c r="AV28" s="11"/>
      <c r="AW28" s="20" t="str">
        <f>HYPERLINK("http://www.openstreetmap.org/?mlat=33.4119&amp;mlon=43.8566&amp;zoom=12#map=12/33.4119/43.8566","Maplink1")</f>
        <v>Maplink1</v>
      </c>
      <c r="AX28" s="20" t="str">
        <f>HYPERLINK("https://www.google.iq/maps/search/+33.4119,43.8566/@33.4119,43.8566,14z?hl=en","Maplink2")</f>
        <v>Maplink2</v>
      </c>
      <c r="AY28" s="20" t="str">
        <f>HYPERLINK("http://www.bing.com/maps/?lvl=14&amp;sty=h&amp;cp=33.4119~43.8566&amp;sp=point.33.4119_43.8566","Maplink3")</f>
        <v>Maplink3</v>
      </c>
    </row>
    <row r="29" spans="1:51" x14ac:dyDescent="0.25">
      <c r="A29" s="9">
        <v>22134</v>
      </c>
      <c r="B29" s="10" t="s">
        <v>8</v>
      </c>
      <c r="C29" s="10" t="s">
        <v>78</v>
      </c>
      <c r="D29" s="10" t="s">
        <v>991</v>
      </c>
      <c r="E29" s="10" t="s">
        <v>992</v>
      </c>
      <c r="F29" s="10">
        <v>33.437325999999999</v>
      </c>
      <c r="G29" s="10">
        <v>43.890464000000001</v>
      </c>
      <c r="H29" s="10" t="s">
        <v>79</v>
      </c>
      <c r="I29" s="10" t="s">
        <v>80</v>
      </c>
      <c r="J29" s="10" t="s">
        <v>993</v>
      </c>
      <c r="K29" s="11">
        <v>995</v>
      </c>
      <c r="L29" s="11">
        <v>5970</v>
      </c>
      <c r="M29" s="11">
        <v>995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995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>
        <v>995</v>
      </c>
      <c r="AU29" s="11"/>
      <c r="AV29" s="11"/>
      <c r="AW29" s="20" t="str">
        <f>HYPERLINK("http://www.openstreetmap.org/?mlat=33.4373&amp;mlon=43.8905&amp;zoom=12#map=12/33.4373/43.8905","Maplink1")</f>
        <v>Maplink1</v>
      </c>
      <c r="AX29" s="20" t="str">
        <f>HYPERLINK("https://www.google.iq/maps/search/+33.4373,43.8905/@33.4373,43.8905,14z?hl=en","Maplink2")</f>
        <v>Maplink2</v>
      </c>
      <c r="AY29" s="20" t="str">
        <f>HYPERLINK("http://www.bing.com/maps/?lvl=14&amp;sty=h&amp;cp=33.4373~43.8905&amp;sp=point.33.4373_43.8905","Maplink3")</f>
        <v>Maplink3</v>
      </c>
    </row>
    <row r="30" spans="1:51" x14ac:dyDescent="0.25">
      <c r="A30" s="9">
        <v>318</v>
      </c>
      <c r="B30" s="10" t="s">
        <v>8</v>
      </c>
      <c r="C30" s="10" t="s">
        <v>78</v>
      </c>
      <c r="D30" s="10" t="s">
        <v>994</v>
      </c>
      <c r="E30" s="10" t="s">
        <v>995</v>
      </c>
      <c r="F30" s="10">
        <v>33.465646999999997</v>
      </c>
      <c r="G30" s="10">
        <v>43.908447000000002</v>
      </c>
      <c r="H30" s="10" t="s">
        <v>79</v>
      </c>
      <c r="I30" s="10" t="s">
        <v>80</v>
      </c>
      <c r="J30" s="10" t="s">
        <v>996</v>
      </c>
      <c r="K30" s="11">
        <v>1331</v>
      </c>
      <c r="L30" s="11">
        <v>7986</v>
      </c>
      <c r="M30" s="11">
        <v>1331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1331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>
        <v>1331</v>
      </c>
      <c r="AU30" s="11"/>
      <c r="AV30" s="11"/>
      <c r="AW30" s="20" t="str">
        <f>HYPERLINK("http://www.openstreetmap.org/?mlat=33.4656&amp;mlon=43.9084&amp;zoom=12#map=12/33.4656/43.9084","Maplink1")</f>
        <v>Maplink1</v>
      </c>
      <c r="AX30" s="20" t="str">
        <f>HYPERLINK("https://www.google.iq/maps/search/+33.4656,43.9084/@33.4656,43.9084,14z?hl=en","Maplink2")</f>
        <v>Maplink2</v>
      </c>
      <c r="AY30" s="20" t="str">
        <f>HYPERLINK("http://www.bing.com/maps/?lvl=14&amp;sty=h&amp;cp=33.4656~43.9084&amp;sp=point.33.4656_43.9084","Maplink3")</f>
        <v>Maplink3</v>
      </c>
    </row>
    <row r="31" spans="1:51" x14ac:dyDescent="0.25">
      <c r="A31" s="9">
        <v>21201</v>
      </c>
      <c r="B31" s="10" t="s">
        <v>8</v>
      </c>
      <c r="C31" s="10" t="s">
        <v>78</v>
      </c>
      <c r="D31" s="10" t="s">
        <v>946</v>
      </c>
      <c r="E31" s="10" t="s">
        <v>947</v>
      </c>
      <c r="F31" s="10">
        <v>33.415022999999998</v>
      </c>
      <c r="G31" s="10">
        <v>43.702190000000002</v>
      </c>
      <c r="H31" s="10" t="s">
        <v>79</v>
      </c>
      <c r="I31" s="10" t="s">
        <v>80</v>
      </c>
      <c r="J31" s="10" t="s">
        <v>948</v>
      </c>
      <c r="K31" s="11">
        <v>405</v>
      </c>
      <c r="L31" s="11">
        <v>2430</v>
      </c>
      <c r="M31" s="11">
        <v>405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405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v>405</v>
      </c>
      <c r="AQ31" s="11"/>
      <c r="AR31" s="11"/>
      <c r="AS31" s="11"/>
      <c r="AT31" s="11"/>
      <c r="AU31" s="11"/>
      <c r="AV31" s="11"/>
      <c r="AW31" s="20" t="str">
        <f>HYPERLINK("http://www.openstreetmap.org/?mlat=33.415&amp;mlon=43.7022&amp;zoom=12#map=12/33.415/43.7022","Maplink1")</f>
        <v>Maplink1</v>
      </c>
      <c r="AX31" s="20" t="str">
        <f>HYPERLINK("https://www.google.iq/maps/search/+33.415,43.7022/@33.415,43.7022,14z?hl=en","Maplink2")</f>
        <v>Maplink2</v>
      </c>
      <c r="AY31" s="20" t="str">
        <f>HYPERLINK("http://www.bing.com/maps/?lvl=14&amp;sty=h&amp;cp=33.415~43.7022&amp;sp=point.33.415_43.7022","Maplink3")</f>
        <v>Maplink3</v>
      </c>
    </row>
    <row r="32" spans="1:51" x14ac:dyDescent="0.25">
      <c r="A32" s="9">
        <v>22606</v>
      </c>
      <c r="B32" s="10" t="s">
        <v>8</v>
      </c>
      <c r="C32" s="10" t="s">
        <v>78</v>
      </c>
      <c r="D32" s="10" t="s">
        <v>997</v>
      </c>
      <c r="E32" s="10" t="s">
        <v>944</v>
      </c>
      <c r="F32" s="10">
        <v>33.382564000000002</v>
      </c>
      <c r="G32" s="10">
        <v>43.626503999999997</v>
      </c>
      <c r="H32" s="10" t="s">
        <v>79</v>
      </c>
      <c r="I32" s="10" t="s">
        <v>80</v>
      </c>
      <c r="J32" s="10" t="s">
        <v>945</v>
      </c>
      <c r="K32" s="11">
        <v>313</v>
      </c>
      <c r="L32" s="11">
        <v>1878</v>
      </c>
      <c r="M32" s="11">
        <v>313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313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v>313</v>
      </c>
      <c r="AQ32" s="11"/>
      <c r="AR32" s="11"/>
      <c r="AS32" s="11"/>
      <c r="AT32" s="11"/>
      <c r="AU32" s="11"/>
      <c r="AV32" s="11"/>
      <c r="AW32" s="20" t="str">
        <f>HYPERLINK("http://www.openstreetmap.org/?mlat=33.3826&amp;mlon=43.6265&amp;zoom=12#map=12/33.3826/43.6265","Maplink1")</f>
        <v>Maplink1</v>
      </c>
      <c r="AX32" s="20" t="str">
        <f>HYPERLINK("https://www.google.iq/maps/search/+33.3826,43.6265/@33.3826,43.6265,14z?hl=en","Maplink2")</f>
        <v>Maplink2</v>
      </c>
      <c r="AY32" s="20" t="str">
        <f>HYPERLINK("http://www.bing.com/maps/?lvl=14&amp;sty=h&amp;cp=33.3826~43.6265&amp;sp=point.33.3826_43.6265","Maplink3")</f>
        <v>Maplink3</v>
      </c>
    </row>
    <row r="33" spans="1:51" x14ac:dyDescent="0.25">
      <c r="A33" s="9">
        <v>300</v>
      </c>
      <c r="B33" s="10" t="s">
        <v>8</v>
      </c>
      <c r="C33" s="10" t="s">
        <v>78</v>
      </c>
      <c r="D33" s="10" t="s">
        <v>998</v>
      </c>
      <c r="E33" s="10" t="s">
        <v>999</v>
      </c>
      <c r="F33" s="10">
        <v>33.410513000000002</v>
      </c>
      <c r="G33" s="10">
        <v>43.861687000000003</v>
      </c>
      <c r="H33" s="10" t="s">
        <v>79</v>
      </c>
      <c r="I33" s="10" t="s">
        <v>80</v>
      </c>
      <c r="J33" s="10" t="s">
        <v>1000</v>
      </c>
      <c r="K33" s="11">
        <v>779</v>
      </c>
      <c r="L33" s="11">
        <v>4674</v>
      </c>
      <c r="M33" s="11">
        <v>681</v>
      </c>
      <c r="N33" s="11"/>
      <c r="O33" s="11"/>
      <c r="P33" s="11"/>
      <c r="Q33" s="11"/>
      <c r="R33" s="11"/>
      <c r="S33" s="11"/>
      <c r="T33" s="11"/>
      <c r="U33" s="11">
        <v>98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779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>
        <v>98</v>
      </c>
      <c r="AR33" s="11"/>
      <c r="AS33" s="11"/>
      <c r="AT33" s="11">
        <v>681</v>
      </c>
      <c r="AU33" s="11"/>
      <c r="AV33" s="11"/>
      <c r="AW33" s="20" t="str">
        <f>HYPERLINK("http://www.openstreetmap.org/?mlat=33.4105&amp;mlon=43.8617&amp;zoom=12#map=12/33.4105/43.8617","Maplink1")</f>
        <v>Maplink1</v>
      </c>
      <c r="AX33" s="20" t="str">
        <f>HYPERLINK("https://www.google.iq/maps/search/+33.4105,43.8617/@33.4105,43.8617,14z?hl=en","Maplink2")</f>
        <v>Maplink2</v>
      </c>
      <c r="AY33" s="20" t="str">
        <f>HYPERLINK("http://www.bing.com/maps/?lvl=14&amp;sty=h&amp;cp=33.4105~43.8617&amp;sp=point.33.4105_43.8617","Maplink3")</f>
        <v>Maplink3</v>
      </c>
    </row>
    <row r="34" spans="1:51" x14ac:dyDescent="0.25">
      <c r="A34" s="9">
        <v>22706</v>
      </c>
      <c r="B34" s="10" t="s">
        <v>8</v>
      </c>
      <c r="C34" s="10" t="s">
        <v>78</v>
      </c>
      <c r="D34" s="10" t="s">
        <v>1001</v>
      </c>
      <c r="E34" s="10" t="s">
        <v>951</v>
      </c>
      <c r="F34" s="10">
        <v>33.337484000000003</v>
      </c>
      <c r="G34" s="10">
        <v>43.701182000000003</v>
      </c>
      <c r="H34" s="10" t="s">
        <v>79</v>
      </c>
      <c r="I34" s="10" t="s">
        <v>80</v>
      </c>
      <c r="J34" s="10" t="s">
        <v>952</v>
      </c>
      <c r="K34" s="11">
        <v>1084</v>
      </c>
      <c r="L34" s="11">
        <v>6504</v>
      </c>
      <c r="M34" s="11">
        <v>682</v>
      </c>
      <c r="N34" s="11"/>
      <c r="O34" s="11"/>
      <c r="P34" s="11"/>
      <c r="Q34" s="11"/>
      <c r="R34" s="11"/>
      <c r="S34" s="11">
        <v>210</v>
      </c>
      <c r="T34" s="11"/>
      <c r="U34" s="11">
        <v>192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1084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>
        <v>447</v>
      </c>
      <c r="AQ34" s="11"/>
      <c r="AR34" s="11"/>
      <c r="AS34" s="11"/>
      <c r="AT34" s="11">
        <v>496</v>
      </c>
      <c r="AU34" s="11">
        <v>141</v>
      </c>
      <c r="AV34" s="11"/>
      <c r="AW34" s="20" t="str">
        <f>HYPERLINK("http://www.openstreetmap.org/?mlat=33.3375&amp;mlon=43.7012&amp;zoom=12#map=12/33.3375/43.7012","Maplink1")</f>
        <v>Maplink1</v>
      </c>
      <c r="AX34" s="20" t="str">
        <f>HYPERLINK("https://www.google.iq/maps/search/+33.3375,43.7012/@33.3375,43.7012,14z?hl=en","Maplink2")</f>
        <v>Maplink2</v>
      </c>
      <c r="AY34" s="20" t="str">
        <f>HYPERLINK("http://www.bing.com/maps/?lvl=14&amp;sty=h&amp;cp=33.3375~43.7012&amp;sp=point.33.3375_43.7012","Maplink3")</f>
        <v>Maplink3</v>
      </c>
    </row>
    <row r="35" spans="1:51" x14ac:dyDescent="0.25">
      <c r="A35" s="9">
        <v>126</v>
      </c>
      <c r="B35" s="10" t="s">
        <v>8</v>
      </c>
      <c r="C35" s="10" t="s">
        <v>78</v>
      </c>
      <c r="D35" s="10" t="s">
        <v>1313</v>
      </c>
      <c r="E35" s="10" t="s">
        <v>1314</v>
      </c>
      <c r="F35" s="10">
        <v>33.365057</v>
      </c>
      <c r="G35" s="10">
        <v>43.770511999999997</v>
      </c>
      <c r="H35" s="10" t="s">
        <v>79</v>
      </c>
      <c r="I35" s="10" t="s">
        <v>80</v>
      </c>
      <c r="J35" s="10" t="s">
        <v>1315</v>
      </c>
      <c r="K35" s="11">
        <v>509</v>
      </c>
      <c r="L35" s="11">
        <v>3054</v>
      </c>
      <c r="M35" s="11">
        <v>467</v>
      </c>
      <c r="N35" s="11"/>
      <c r="O35" s="11"/>
      <c r="P35" s="11"/>
      <c r="Q35" s="11"/>
      <c r="R35" s="11"/>
      <c r="S35" s="11">
        <v>42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509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>
        <v>42</v>
      </c>
      <c r="AQ35" s="11"/>
      <c r="AR35" s="11"/>
      <c r="AS35" s="11"/>
      <c r="AT35" s="11">
        <v>467</v>
      </c>
      <c r="AU35" s="11"/>
      <c r="AV35" s="11"/>
      <c r="AW35" s="20" t="str">
        <f>HYPERLINK("http://www.openstreetmap.org/?mlat=33.3651&amp;mlon=43.7705&amp;zoom=12#map=12/33.3651/43.7705","Maplink1")</f>
        <v>Maplink1</v>
      </c>
      <c r="AX35" s="20" t="str">
        <f>HYPERLINK("https://www.google.iq/maps/search/+33.3651,43.7705/@33.3651,43.7705,14z?hl=en","Maplink2")</f>
        <v>Maplink2</v>
      </c>
      <c r="AY35" s="20" t="str">
        <f>HYPERLINK("http://www.bing.com/maps/?lvl=14&amp;sty=h&amp;cp=33.3651~43.7705&amp;sp=point.33.3651_43.7705","Maplink3")</f>
        <v>Maplink3</v>
      </c>
    </row>
    <row r="36" spans="1:51" x14ac:dyDescent="0.25">
      <c r="A36" s="9">
        <v>24106</v>
      </c>
      <c r="B36" s="10" t="s">
        <v>8</v>
      </c>
      <c r="C36" s="10" t="s">
        <v>78</v>
      </c>
      <c r="D36" s="10" t="s">
        <v>1237</v>
      </c>
      <c r="E36" s="10" t="s">
        <v>1002</v>
      </c>
      <c r="F36" s="10">
        <v>33.406427999999998</v>
      </c>
      <c r="G36" s="10">
        <v>43.923875000000002</v>
      </c>
      <c r="H36" s="10" t="s">
        <v>79</v>
      </c>
      <c r="I36" s="10" t="s">
        <v>80</v>
      </c>
      <c r="J36" s="10" t="s">
        <v>1003</v>
      </c>
      <c r="K36" s="11">
        <v>310</v>
      </c>
      <c r="L36" s="11">
        <v>1860</v>
      </c>
      <c r="M36" s="11">
        <v>310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310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v>107</v>
      </c>
      <c r="AQ36" s="11">
        <v>98</v>
      </c>
      <c r="AR36" s="11"/>
      <c r="AS36" s="11"/>
      <c r="AT36" s="11">
        <v>105</v>
      </c>
      <c r="AU36" s="11"/>
      <c r="AV36" s="11"/>
      <c r="AW36" s="20" t="str">
        <f>HYPERLINK("http://www.openstreetmap.org/?mlat=33.4064&amp;mlon=43.9239&amp;zoom=12#map=12/33.4064/43.9239","Maplink1")</f>
        <v>Maplink1</v>
      </c>
      <c r="AX36" s="20" t="str">
        <f>HYPERLINK("https://www.google.iq/maps/search/+33.4064,43.9239/@33.4064,43.9239,14z?hl=en","Maplink2")</f>
        <v>Maplink2</v>
      </c>
      <c r="AY36" s="20" t="str">
        <f>HYPERLINK("http://www.bing.com/maps/?lvl=14&amp;sty=h&amp;cp=33.4064~43.9239&amp;sp=point.33.4064_43.9239","Maplink3")</f>
        <v>Maplink3</v>
      </c>
    </row>
    <row r="37" spans="1:51" x14ac:dyDescent="0.25">
      <c r="A37" s="9">
        <v>128</v>
      </c>
      <c r="B37" s="10" t="s">
        <v>8</v>
      </c>
      <c r="C37" s="10" t="s">
        <v>78</v>
      </c>
      <c r="D37" s="10" t="s">
        <v>1004</v>
      </c>
      <c r="E37" s="10" t="s">
        <v>108</v>
      </c>
      <c r="F37" s="10">
        <v>33.359285</v>
      </c>
      <c r="G37" s="10">
        <v>43.807626999999997</v>
      </c>
      <c r="H37" s="10" t="s">
        <v>79</v>
      </c>
      <c r="I37" s="10" t="s">
        <v>80</v>
      </c>
      <c r="J37" s="10" t="s">
        <v>1005</v>
      </c>
      <c r="K37" s="11">
        <v>1982</v>
      </c>
      <c r="L37" s="11">
        <v>11892</v>
      </c>
      <c r="M37" s="11">
        <v>1084</v>
      </c>
      <c r="N37" s="11"/>
      <c r="O37" s="11">
        <v>187</v>
      </c>
      <c r="P37" s="11"/>
      <c r="Q37" s="11"/>
      <c r="R37" s="11"/>
      <c r="S37" s="11">
        <v>389</v>
      </c>
      <c r="T37" s="11"/>
      <c r="U37" s="11">
        <v>219</v>
      </c>
      <c r="V37" s="11"/>
      <c r="W37" s="11"/>
      <c r="X37" s="11"/>
      <c r="Y37" s="11"/>
      <c r="Z37" s="11"/>
      <c r="AA37" s="11"/>
      <c r="AB37" s="11">
        <v>103</v>
      </c>
      <c r="AC37" s="11"/>
      <c r="AD37" s="11"/>
      <c r="AE37" s="11"/>
      <c r="AF37" s="11">
        <v>1982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v>1072</v>
      </c>
      <c r="AQ37" s="11">
        <v>103</v>
      </c>
      <c r="AR37" s="11"/>
      <c r="AS37" s="11"/>
      <c r="AT37" s="11">
        <v>566</v>
      </c>
      <c r="AU37" s="11">
        <v>241</v>
      </c>
      <c r="AV37" s="11"/>
      <c r="AW37" s="20" t="str">
        <f>HYPERLINK("http://www.openstreetmap.org/?mlat=33.3593&amp;mlon=43.8076&amp;zoom=12#map=12/33.3593/43.8076","Maplink1")</f>
        <v>Maplink1</v>
      </c>
      <c r="AX37" s="20" t="str">
        <f>HYPERLINK("https://www.google.iq/maps/search/+33.3593,43.8076/@33.3593,43.8076,14z?hl=en","Maplink2")</f>
        <v>Maplink2</v>
      </c>
      <c r="AY37" s="20" t="str">
        <f>HYPERLINK("http://www.bing.com/maps/?lvl=14&amp;sty=h&amp;cp=33.3593~43.8076&amp;sp=point.33.3593_43.8076","Maplink3")</f>
        <v>Maplink3</v>
      </c>
    </row>
    <row r="38" spans="1:51" x14ac:dyDescent="0.25">
      <c r="A38" s="9">
        <v>125</v>
      </c>
      <c r="B38" s="10" t="s">
        <v>8</v>
      </c>
      <c r="C38" s="10" t="s">
        <v>78</v>
      </c>
      <c r="D38" s="10" t="s">
        <v>927</v>
      </c>
      <c r="E38" s="10" t="s">
        <v>293</v>
      </c>
      <c r="F38" s="10">
        <v>33.357909999999997</v>
      </c>
      <c r="G38" s="10">
        <v>43.795484999999999</v>
      </c>
      <c r="H38" s="10" t="s">
        <v>79</v>
      </c>
      <c r="I38" s="10" t="s">
        <v>80</v>
      </c>
      <c r="J38" s="10"/>
      <c r="K38" s="11">
        <v>1492</v>
      </c>
      <c r="L38" s="11">
        <v>8952</v>
      </c>
      <c r="M38" s="11">
        <v>1103</v>
      </c>
      <c r="N38" s="11"/>
      <c r="O38" s="11">
        <v>200</v>
      </c>
      <c r="P38" s="11"/>
      <c r="Q38" s="11"/>
      <c r="R38" s="11"/>
      <c r="S38" s="11"/>
      <c r="T38" s="11"/>
      <c r="U38" s="11">
        <v>80</v>
      </c>
      <c r="V38" s="11"/>
      <c r="W38" s="11"/>
      <c r="X38" s="11"/>
      <c r="Y38" s="11"/>
      <c r="Z38" s="11"/>
      <c r="AA38" s="11"/>
      <c r="AB38" s="11">
        <v>109</v>
      </c>
      <c r="AC38" s="11"/>
      <c r="AD38" s="11"/>
      <c r="AE38" s="11"/>
      <c r="AF38" s="11">
        <v>1492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v>547</v>
      </c>
      <c r="AQ38" s="11"/>
      <c r="AR38" s="11"/>
      <c r="AS38" s="11"/>
      <c r="AT38" s="11">
        <v>421</v>
      </c>
      <c r="AU38" s="11">
        <v>524</v>
      </c>
      <c r="AV38" s="11"/>
      <c r="AW38" s="20" t="str">
        <f>HYPERLINK("http://www.openstreetmap.org/?mlat=33.3579&amp;mlon=43.7955&amp;zoom=12#map=12/33.3579/43.7955","Maplink1")</f>
        <v>Maplink1</v>
      </c>
      <c r="AX38" s="20" t="str">
        <f>HYPERLINK("https://www.google.iq/maps/search/+33.3579,43.7955/@33.3579,43.7955,14z?hl=en","Maplink2")</f>
        <v>Maplink2</v>
      </c>
      <c r="AY38" s="20" t="str">
        <f>HYPERLINK("http://www.bing.com/maps/?lvl=14&amp;sty=h&amp;cp=33.3579~43.7955&amp;sp=point.33.3579_43.7955","Maplink3")</f>
        <v>Maplink3</v>
      </c>
    </row>
    <row r="39" spans="1:51" x14ac:dyDescent="0.25">
      <c r="A39" s="9">
        <v>157</v>
      </c>
      <c r="B39" s="10" t="s">
        <v>8</v>
      </c>
      <c r="C39" s="10" t="s">
        <v>78</v>
      </c>
      <c r="D39" s="10" t="s">
        <v>1404</v>
      </c>
      <c r="E39" s="10" t="s">
        <v>1405</v>
      </c>
      <c r="F39" s="10">
        <v>33.361175000000003</v>
      </c>
      <c r="G39" s="10">
        <v>43.783220999999998</v>
      </c>
      <c r="H39" s="10" t="s">
        <v>79</v>
      </c>
      <c r="I39" s="10" t="s">
        <v>80</v>
      </c>
      <c r="J39" s="10" t="s">
        <v>1406</v>
      </c>
      <c r="K39" s="11">
        <v>239</v>
      </c>
      <c r="L39" s="11">
        <v>1434</v>
      </c>
      <c r="M39" s="11">
        <v>239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239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>
        <v>239</v>
      </c>
      <c r="AU39" s="11"/>
      <c r="AV39" s="11"/>
      <c r="AW39" s="20" t="str">
        <f>HYPERLINK("http://www.openstreetmap.org/?mlat=33.3612&amp;mlon=43.7832&amp;zoom=12#map=12/33.3612/43.7832","Maplink1")</f>
        <v>Maplink1</v>
      </c>
      <c r="AX39" s="20" t="str">
        <f>HYPERLINK("https://www.google.iq/maps/search/+33.3612,43.7832/@33.3612,43.7832,14z?hl=en","Maplink2")</f>
        <v>Maplink2</v>
      </c>
      <c r="AY39" s="20" t="str">
        <f>HYPERLINK("http://www.bing.com/maps/?lvl=14&amp;sty=h&amp;cp=33.3612~43.7832&amp;sp=point.33.3612_43.7832","Maplink3")</f>
        <v>Maplink3</v>
      </c>
    </row>
    <row r="40" spans="1:51" x14ac:dyDescent="0.25">
      <c r="A40" s="9">
        <v>121</v>
      </c>
      <c r="B40" s="10" t="s">
        <v>8</v>
      </c>
      <c r="C40" s="10" t="s">
        <v>78</v>
      </c>
      <c r="D40" s="10" t="s">
        <v>1316</v>
      </c>
      <c r="E40" s="10" t="s">
        <v>1317</v>
      </c>
      <c r="F40" s="10">
        <v>33.34704</v>
      </c>
      <c r="G40" s="10">
        <v>43.781768999999997</v>
      </c>
      <c r="H40" s="10" t="s">
        <v>79</v>
      </c>
      <c r="I40" s="10" t="s">
        <v>80</v>
      </c>
      <c r="J40" s="10" t="s">
        <v>1318</v>
      </c>
      <c r="K40" s="11">
        <v>696</v>
      </c>
      <c r="L40" s="11">
        <v>4176</v>
      </c>
      <c r="M40" s="11">
        <v>617</v>
      </c>
      <c r="N40" s="11"/>
      <c r="O40" s="11"/>
      <c r="P40" s="11"/>
      <c r="Q40" s="11"/>
      <c r="R40" s="11"/>
      <c r="S40" s="11">
        <v>79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696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>
        <v>100</v>
      </c>
      <c r="AQ40" s="11"/>
      <c r="AR40" s="11"/>
      <c r="AS40" s="11"/>
      <c r="AT40" s="11">
        <v>296</v>
      </c>
      <c r="AU40" s="11">
        <v>300</v>
      </c>
      <c r="AV40" s="11"/>
      <c r="AW40" s="20" t="str">
        <f>HYPERLINK("http://www.openstreetmap.org/?mlat=33.347&amp;mlon=43.7818&amp;zoom=12#map=12/33.347/43.7818","Maplink1")</f>
        <v>Maplink1</v>
      </c>
      <c r="AX40" s="20" t="str">
        <f>HYPERLINK("https://www.google.iq/maps/search/+33.347,43.7818/@33.347,43.7818,14z?hl=en","Maplink2")</f>
        <v>Maplink2</v>
      </c>
      <c r="AY40" s="20" t="str">
        <f>HYPERLINK("http://www.bing.com/maps/?lvl=14&amp;sty=h&amp;cp=33.347~43.7818&amp;sp=point.33.347_43.7818","Maplink3")</f>
        <v>Maplink3</v>
      </c>
    </row>
    <row r="41" spans="1:51" x14ac:dyDescent="0.25">
      <c r="A41" s="9">
        <v>24314</v>
      </c>
      <c r="B41" s="10" t="s">
        <v>8</v>
      </c>
      <c r="C41" s="10" t="s">
        <v>1006</v>
      </c>
      <c r="D41" s="10" t="s">
        <v>1007</v>
      </c>
      <c r="E41" s="10" t="s">
        <v>1008</v>
      </c>
      <c r="F41" s="10">
        <v>34.084608000000003</v>
      </c>
      <c r="G41" s="10">
        <v>42.352733999999998</v>
      </c>
      <c r="H41" s="10" t="s">
        <v>79</v>
      </c>
      <c r="I41" s="10" t="s">
        <v>1009</v>
      </c>
      <c r="J41" s="10"/>
      <c r="K41" s="11">
        <v>219</v>
      </c>
      <c r="L41" s="11">
        <v>1314</v>
      </c>
      <c r="M41" s="11"/>
      <c r="N41" s="11"/>
      <c r="O41" s="11">
        <v>219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219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>
        <v>219</v>
      </c>
      <c r="AU41" s="11"/>
      <c r="AV41" s="11"/>
      <c r="AW41" s="20" t="str">
        <f>HYPERLINK("http://www.openstreetmap.org/?mlat=34.0846&amp;mlon=42.3527&amp;zoom=12#map=12/34.0846/42.3527","Maplink1")</f>
        <v>Maplink1</v>
      </c>
      <c r="AX41" s="20" t="str">
        <f>HYPERLINK("https://www.google.iq/maps/search/+34.0846,42.3527/@34.0846,42.3527,14z?hl=en","Maplink2")</f>
        <v>Maplink2</v>
      </c>
      <c r="AY41" s="20" t="str">
        <f>HYPERLINK("http://www.bing.com/maps/?lvl=14&amp;sty=h&amp;cp=34.0846~42.3527&amp;sp=point.34.0846_42.3527","Maplink3")</f>
        <v>Maplink3</v>
      </c>
    </row>
    <row r="42" spans="1:51" x14ac:dyDescent="0.25">
      <c r="A42" s="9">
        <v>23824</v>
      </c>
      <c r="B42" s="10" t="s">
        <v>8</v>
      </c>
      <c r="C42" s="10" t="s">
        <v>1006</v>
      </c>
      <c r="D42" s="10" t="s">
        <v>1010</v>
      </c>
      <c r="E42" s="10" t="s">
        <v>1011</v>
      </c>
      <c r="F42" s="10">
        <v>34.080872999999997</v>
      </c>
      <c r="G42" s="10">
        <v>42.356968999999999</v>
      </c>
      <c r="H42" s="10" t="s">
        <v>79</v>
      </c>
      <c r="I42" s="10" t="s">
        <v>1009</v>
      </c>
      <c r="J42" s="10" t="s">
        <v>1012</v>
      </c>
      <c r="K42" s="11">
        <v>135</v>
      </c>
      <c r="L42" s="11">
        <v>810</v>
      </c>
      <c r="M42" s="11"/>
      <c r="N42" s="11"/>
      <c r="O42" s="11"/>
      <c r="P42" s="11"/>
      <c r="Q42" s="11"/>
      <c r="R42" s="11"/>
      <c r="S42" s="11">
        <v>75</v>
      </c>
      <c r="T42" s="11"/>
      <c r="U42" s="11">
        <v>60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135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>
        <v>75</v>
      </c>
      <c r="AR42" s="11"/>
      <c r="AS42" s="11"/>
      <c r="AT42" s="11">
        <v>60</v>
      </c>
      <c r="AU42" s="11"/>
      <c r="AV42" s="11"/>
      <c r="AW42" s="20" t="str">
        <f>HYPERLINK("http://www.openstreetmap.org/?mlat=34.0809&amp;mlon=42.357&amp;zoom=12#map=12/34.0809/42.357","Maplink1")</f>
        <v>Maplink1</v>
      </c>
      <c r="AX42" s="20" t="str">
        <f>HYPERLINK("https://www.google.iq/maps/search/+34.0809,42.357/@34.0809,42.357,14z?hl=en","Maplink2")</f>
        <v>Maplink2</v>
      </c>
      <c r="AY42" s="20" t="str">
        <f>HYPERLINK("http://www.bing.com/maps/?lvl=14&amp;sty=h&amp;cp=34.0809~42.357&amp;sp=point.34.0809_42.357","Maplink3")</f>
        <v>Maplink3</v>
      </c>
    </row>
    <row r="43" spans="1:51" x14ac:dyDescent="0.25">
      <c r="A43" s="9">
        <v>23823</v>
      </c>
      <c r="B43" s="10" t="s">
        <v>8</v>
      </c>
      <c r="C43" s="10" t="s">
        <v>1006</v>
      </c>
      <c r="D43" s="10" t="s">
        <v>1238</v>
      </c>
      <c r="E43" s="10" t="s">
        <v>1239</v>
      </c>
      <c r="F43" s="10">
        <v>34.086067</v>
      </c>
      <c r="G43" s="10">
        <v>42.362758999999997</v>
      </c>
      <c r="H43" s="10" t="s">
        <v>79</v>
      </c>
      <c r="I43" s="10" t="s">
        <v>1009</v>
      </c>
      <c r="J43" s="10" t="s">
        <v>1013</v>
      </c>
      <c r="K43" s="11">
        <v>185</v>
      </c>
      <c r="L43" s="11">
        <v>1110</v>
      </c>
      <c r="M43" s="11"/>
      <c r="N43" s="11"/>
      <c r="O43" s="11"/>
      <c r="P43" s="11"/>
      <c r="Q43" s="11"/>
      <c r="R43" s="11"/>
      <c r="S43" s="11">
        <v>185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185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>
        <v>185</v>
      </c>
      <c r="AT43" s="11"/>
      <c r="AU43" s="11"/>
      <c r="AV43" s="11"/>
      <c r="AW43" s="20" t="str">
        <f>HYPERLINK("http://www.openstreetmap.org/?mlat=34.0861&amp;mlon=42.3628&amp;zoom=12#map=12/34.0861/42.3628","Maplink1")</f>
        <v>Maplink1</v>
      </c>
      <c r="AX43" s="20" t="str">
        <f>HYPERLINK("https://www.google.iq/maps/search/+34.0861,42.3628/@34.0861,42.3628,14z?hl=en","Maplink2")</f>
        <v>Maplink2</v>
      </c>
      <c r="AY43" s="20" t="str">
        <f>HYPERLINK("http://www.bing.com/maps/?lvl=14&amp;sty=h&amp;cp=34.0861~42.3628&amp;sp=point.34.0861_42.3628","Maplink3")</f>
        <v>Maplink3</v>
      </c>
    </row>
    <row r="44" spans="1:51" x14ac:dyDescent="0.25">
      <c r="A44" s="9">
        <v>23819</v>
      </c>
      <c r="B44" s="10" t="s">
        <v>8</v>
      </c>
      <c r="C44" s="10" t="s">
        <v>1006</v>
      </c>
      <c r="D44" s="10" t="s">
        <v>1240</v>
      </c>
      <c r="E44" s="10" t="s">
        <v>1241</v>
      </c>
      <c r="F44" s="10">
        <v>34.086398000000003</v>
      </c>
      <c r="G44" s="10">
        <v>42.369182000000002</v>
      </c>
      <c r="H44" s="10" t="s">
        <v>79</v>
      </c>
      <c r="I44" s="10" t="s">
        <v>1009</v>
      </c>
      <c r="J44" s="10" t="s">
        <v>1242</v>
      </c>
      <c r="K44" s="11">
        <v>70</v>
      </c>
      <c r="L44" s="11">
        <v>420</v>
      </c>
      <c r="M44" s="11"/>
      <c r="N44" s="11"/>
      <c r="O44" s="11"/>
      <c r="P44" s="11"/>
      <c r="Q44" s="11"/>
      <c r="R44" s="11"/>
      <c r="S44" s="11"/>
      <c r="T44" s="11"/>
      <c r="U44" s="11">
        <v>70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70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>
        <v>70</v>
      </c>
      <c r="AT44" s="11"/>
      <c r="AU44" s="11"/>
      <c r="AV44" s="11"/>
      <c r="AW44" s="20" t="str">
        <f>HYPERLINK("http://www.openstreetmap.org/?mlat=34.0864&amp;mlon=42.3692&amp;zoom=12#map=12/34.0864/42.3692","Maplink1")</f>
        <v>Maplink1</v>
      </c>
      <c r="AX44" s="20" t="str">
        <f>HYPERLINK("https://www.google.iq/maps/search/+34.0864,42.3692/@34.0864,42.3692,14z?hl=en","Maplink2")</f>
        <v>Maplink2</v>
      </c>
      <c r="AY44" s="20" t="str">
        <f>HYPERLINK("http://www.bing.com/maps/?lvl=14&amp;sty=h&amp;cp=34.0864~42.3692&amp;sp=point.34.0864_42.3692","Maplink3")</f>
        <v>Maplink3</v>
      </c>
    </row>
    <row r="45" spans="1:51" x14ac:dyDescent="0.25">
      <c r="A45" s="9">
        <v>100</v>
      </c>
      <c r="B45" s="10" t="s">
        <v>8</v>
      </c>
      <c r="C45" s="10" t="s">
        <v>82</v>
      </c>
      <c r="D45" s="10" t="s">
        <v>83</v>
      </c>
      <c r="E45" s="10" t="s">
        <v>84</v>
      </c>
      <c r="F45" s="10">
        <v>33.508547</v>
      </c>
      <c r="G45" s="10">
        <v>42.963501000000001</v>
      </c>
      <c r="H45" s="10" t="s">
        <v>79</v>
      </c>
      <c r="I45" s="10" t="s">
        <v>85</v>
      </c>
      <c r="J45" s="10" t="s">
        <v>86</v>
      </c>
      <c r="K45" s="11">
        <v>838</v>
      </c>
      <c r="L45" s="11">
        <v>5028</v>
      </c>
      <c r="M45" s="11">
        <v>748</v>
      </c>
      <c r="N45" s="11"/>
      <c r="O45" s="11">
        <v>90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838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>
        <v>558</v>
      </c>
      <c r="AR45" s="11"/>
      <c r="AS45" s="11">
        <v>175</v>
      </c>
      <c r="AT45" s="11"/>
      <c r="AU45" s="11">
        <v>105</v>
      </c>
      <c r="AV45" s="11"/>
      <c r="AW45" s="20" t="str">
        <f>HYPERLINK("http://www.openstreetmap.org/?mlat=33.5085&amp;mlon=42.9635&amp;zoom=12#map=12/33.5085/42.9635","Maplink1")</f>
        <v>Maplink1</v>
      </c>
      <c r="AX45" s="20" t="str">
        <f>HYPERLINK("https://www.google.iq/maps/search/+33.5085,42.9635/@33.5085,42.9635,14z?hl=en","Maplink2")</f>
        <v>Maplink2</v>
      </c>
      <c r="AY45" s="20" t="str">
        <f>HYPERLINK("http://www.bing.com/maps/?lvl=14&amp;sty=h&amp;cp=33.5085~42.9635&amp;sp=point.33.5085_42.9635","Maplink3")</f>
        <v>Maplink3</v>
      </c>
    </row>
    <row r="46" spans="1:51" x14ac:dyDescent="0.25">
      <c r="A46" s="9">
        <v>163</v>
      </c>
      <c r="B46" s="10" t="s">
        <v>8</v>
      </c>
      <c r="C46" s="10" t="s">
        <v>82</v>
      </c>
      <c r="D46" s="10" t="s">
        <v>1243</v>
      </c>
      <c r="E46" s="10" t="s">
        <v>1244</v>
      </c>
      <c r="F46" s="10">
        <v>33.649721</v>
      </c>
      <c r="G46" s="10">
        <v>42.829619000000001</v>
      </c>
      <c r="H46" s="10" t="s">
        <v>79</v>
      </c>
      <c r="I46" s="10" t="s">
        <v>85</v>
      </c>
      <c r="J46" s="10" t="s">
        <v>1245</v>
      </c>
      <c r="K46" s="11">
        <v>98</v>
      </c>
      <c r="L46" s="11">
        <v>588</v>
      </c>
      <c r="M46" s="11">
        <v>98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98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>
        <v>98</v>
      </c>
      <c r="AT46" s="11"/>
      <c r="AU46" s="11"/>
      <c r="AV46" s="11"/>
      <c r="AW46" s="20" t="str">
        <f>HYPERLINK("http://www.openstreetmap.org/?mlat=33.6497&amp;mlon=42.8296&amp;zoom=12#map=12/33.6497/42.8296","Maplink1")</f>
        <v>Maplink1</v>
      </c>
      <c r="AX46" s="20" t="str">
        <f>HYPERLINK("https://www.google.iq/maps/search/+33.6497,42.8296/@33.6497,42.8296,14z?hl=en","Maplink2")</f>
        <v>Maplink2</v>
      </c>
      <c r="AY46" s="20" t="str">
        <f>HYPERLINK("http://www.bing.com/maps/?lvl=14&amp;sty=h&amp;cp=33.6497~42.8296&amp;sp=point.33.6497_42.8296","Maplink3")</f>
        <v>Maplink3</v>
      </c>
    </row>
    <row r="47" spans="1:51" x14ac:dyDescent="0.25">
      <c r="A47" s="9">
        <v>24113</v>
      </c>
      <c r="B47" s="10" t="s">
        <v>8</v>
      </c>
      <c r="C47" s="10" t="s">
        <v>82</v>
      </c>
      <c r="D47" s="10" t="s">
        <v>819</v>
      </c>
      <c r="E47" s="10" t="s">
        <v>820</v>
      </c>
      <c r="F47" s="10">
        <v>33.641776</v>
      </c>
      <c r="G47" s="10">
        <v>42.827755000000003</v>
      </c>
      <c r="H47" s="10" t="s">
        <v>79</v>
      </c>
      <c r="I47" s="10" t="s">
        <v>85</v>
      </c>
      <c r="J47" s="10" t="s">
        <v>821</v>
      </c>
      <c r="K47" s="11">
        <v>428</v>
      </c>
      <c r="L47" s="11">
        <v>2568</v>
      </c>
      <c r="M47" s="11">
        <v>428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428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>
        <v>184</v>
      </c>
      <c r="AT47" s="11"/>
      <c r="AU47" s="11">
        <v>244</v>
      </c>
      <c r="AV47" s="11"/>
      <c r="AW47" s="20" t="str">
        <f>HYPERLINK("http://www.openstreetmap.org/?mlat=33.6418&amp;mlon=42.8278&amp;zoom=12#map=12/33.6418/42.8278","Maplink1")</f>
        <v>Maplink1</v>
      </c>
      <c r="AX47" s="20" t="str">
        <f>HYPERLINK("https://www.google.iq/maps/search/+33.6418,42.8278/@33.6418,42.8278,14z?hl=en","Maplink2")</f>
        <v>Maplink2</v>
      </c>
      <c r="AY47" s="20" t="str">
        <f>HYPERLINK("http://www.bing.com/maps/?lvl=14&amp;sty=h&amp;cp=33.6418~42.8278&amp;sp=point.33.6418_42.8278","Maplink3")</f>
        <v>Maplink3</v>
      </c>
    </row>
    <row r="48" spans="1:51" x14ac:dyDescent="0.25">
      <c r="A48" s="9">
        <v>24114</v>
      </c>
      <c r="B48" s="10" t="s">
        <v>8</v>
      </c>
      <c r="C48" s="10" t="s">
        <v>82</v>
      </c>
      <c r="D48" s="10" t="s">
        <v>87</v>
      </c>
      <c r="E48" s="10" t="s">
        <v>88</v>
      </c>
      <c r="F48" s="10">
        <v>33.593634000000002</v>
      </c>
      <c r="G48" s="10">
        <v>42.614089</v>
      </c>
      <c r="H48" s="10" t="s">
        <v>79</v>
      </c>
      <c r="I48" s="10" t="s">
        <v>85</v>
      </c>
      <c r="J48" s="10" t="s">
        <v>89</v>
      </c>
      <c r="K48" s="11">
        <v>294</v>
      </c>
      <c r="L48" s="11">
        <v>1764</v>
      </c>
      <c r="M48" s="11">
        <v>294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294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>
        <v>173</v>
      </c>
      <c r="AR48" s="11"/>
      <c r="AS48" s="11">
        <v>49</v>
      </c>
      <c r="AT48" s="11">
        <v>72</v>
      </c>
      <c r="AU48" s="11"/>
      <c r="AV48" s="11"/>
      <c r="AW48" s="20" t="str">
        <f>HYPERLINK("http://www.openstreetmap.org/?mlat=33.5936&amp;mlon=42.6141&amp;zoom=12#map=12/33.5936/42.6141","Maplink1")</f>
        <v>Maplink1</v>
      </c>
      <c r="AX48" s="20" t="str">
        <f>HYPERLINK("https://www.google.iq/maps/search/+33.5936,42.6141/@33.5936,42.6141,14z?hl=en","Maplink2")</f>
        <v>Maplink2</v>
      </c>
      <c r="AY48" s="20" t="str">
        <f>HYPERLINK("http://www.bing.com/maps/?lvl=14&amp;sty=h&amp;cp=33.5936~42.6141&amp;sp=point.33.5936_42.6141","Maplink3")</f>
        <v>Maplink3</v>
      </c>
    </row>
    <row r="49" spans="1:51" x14ac:dyDescent="0.25">
      <c r="A49" s="9">
        <v>135</v>
      </c>
      <c r="B49" s="10" t="s">
        <v>8</v>
      </c>
      <c r="C49" s="10" t="s">
        <v>82</v>
      </c>
      <c r="D49" s="10" t="s">
        <v>90</v>
      </c>
      <c r="E49" s="10" t="s">
        <v>91</v>
      </c>
      <c r="F49" s="10">
        <v>33.632710000000003</v>
      </c>
      <c r="G49" s="10">
        <v>42.848387000000002</v>
      </c>
      <c r="H49" s="10" t="s">
        <v>79</v>
      </c>
      <c r="I49" s="10" t="s">
        <v>85</v>
      </c>
      <c r="J49" s="10" t="s">
        <v>92</v>
      </c>
      <c r="K49" s="11">
        <v>271</v>
      </c>
      <c r="L49" s="11">
        <v>1626</v>
      </c>
      <c r="M49" s="11">
        <v>211</v>
      </c>
      <c r="N49" s="11"/>
      <c r="O49" s="11"/>
      <c r="P49" s="11"/>
      <c r="Q49" s="11"/>
      <c r="R49" s="11"/>
      <c r="S49" s="11"/>
      <c r="T49" s="11"/>
      <c r="U49" s="11">
        <v>60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271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>
        <v>60</v>
      </c>
      <c r="AR49" s="11"/>
      <c r="AS49" s="11">
        <v>144</v>
      </c>
      <c r="AT49" s="11">
        <v>67</v>
      </c>
      <c r="AU49" s="11"/>
      <c r="AV49" s="11"/>
      <c r="AW49" s="20" t="str">
        <f>HYPERLINK("http://www.openstreetmap.org/?mlat=33.6327&amp;mlon=42.8484&amp;zoom=12#map=12/33.6327/42.8484","Maplink1")</f>
        <v>Maplink1</v>
      </c>
      <c r="AX49" s="20" t="str">
        <f>HYPERLINK("https://www.google.iq/maps/search/+33.6327,42.8484/@33.6327,42.8484,14z?hl=en","Maplink2")</f>
        <v>Maplink2</v>
      </c>
      <c r="AY49" s="20" t="str">
        <f>HYPERLINK("http://www.bing.com/maps/?lvl=14&amp;sty=h&amp;cp=33.6327~42.8484&amp;sp=point.33.6327_42.8484","Maplink3")</f>
        <v>Maplink3</v>
      </c>
    </row>
    <row r="50" spans="1:51" x14ac:dyDescent="0.25">
      <c r="A50" s="9">
        <v>23827</v>
      </c>
      <c r="B50" s="10" t="s">
        <v>8</v>
      </c>
      <c r="C50" s="10" t="s">
        <v>82</v>
      </c>
      <c r="D50" s="10" t="s">
        <v>93</v>
      </c>
      <c r="E50" s="10" t="s">
        <v>94</v>
      </c>
      <c r="F50" s="10">
        <v>33.644216</v>
      </c>
      <c r="G50" s="10">
        <v>42.822705999999997</v>
      </c>
      <c r="H50" s="10" t="s">
        <v>79</v>
      </c>
      <c r="I50" s="10" t="s">
        <v>85</v>
      </c>
      <c r="J50" s="10" t="s">
        <v>95</v>
      </c>
      <c r="K50" s="11">
        <v>439</v>
      </c>
      <c r="L50" s="11">
        <v>2634</v>
      </c>
      <c r="M50" s="11">
        <v>439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>
        <v>439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>
        <v>182</v>
      </c>
      <c r="AT50" s="11"/>
      <c r="AU50" s="11">
        <v>257</v>
      </c>
      <c r="AV50" s="11"/>
      <c r="AW50" s="20" t="str">
        <f>HYPERLINK("http://www.openstreetmap.org/?mlat=33.6442&amp;mlon=42.8227&amp;zoom=12#map=12/33.6442/42.8227","Maplink1")</f>
        <v>Maplink1</v>
      </c>
      <c r="AX50" s="20" t="str">
        <f>HYPERLINK("https://www.google.iq/maps/search/+33.6442,42.8227/@33.6442,42.8227,14z?hl=en","Maplink2")</f>
        <v>Maplink2</v>
      </c>
      <c r="AY50" s="20" t="str">
        <f>HYPERLINK("http://www.bing.com/maps/?lvl=14&amp;sty=h&amp;cp=33.6442~42.8227&amp;sp=point.33.6442_42.8227","Maplink3")</f>
        <v>Maplink3</v>
      </c>
    </row>
    <row r="51" spans="1:51" x14ac:dyDescent="0.25">
      <c r="A51" s="9">
        <v>23831</v>
      </c>
      <c r="B51" s="10" t="s">
        <v>8</v>
      </c>
      <c r="C51" s="10" t="s">
        <v>82</v>
      </c>
      <c r="D51" s="10" t="s">
        <v>842</v>
      </c>
      <c r="E51" s="10" t="s">
        <v>830</v>
      </c>
      <c r="F51" s="10">
        <v>33.630186000000002</v>
      </c>
      <c r="G51" s="10">
        <v>42.819651999999998</v>
      </c>
      <c r="H51" s="10" t="s">
        <v>79</v>
      </c>
      <c r="I51" s="10" t="s">
        <v>85</v>
      </c>
      <c r="J51" s="10" t="s">
        <v>831</v>
      </c>
      <c r="K51" s="11">
        <v>388</v>
      </c>
      <c r="L51" s="11">
        <v>2328</v>
      </c>
      <c r="M51" s="11">
        <v>216</v>
      </c>
      <c r="N51" s="11"/>
      <c r="O51" s="11"/>
      <c r="P51" s="11"/>
      <c r="Q51" s="11"/>
      <c r="R51" s="11"/>
      <c r="S51" s="11">
        <v>64</v>
      </c>
      <c r="T51" s="11"/>
      <c r="U51" s="11"/>
      <c r="V51" s="11"/>
      <c r="W51" s="11"/>
      <c r="X51" s="11"/>
      <c r="Y51" s="11"/>
      <c r="Z51" s="11"/>
      <c r="AA51" s="11"/>
      <c r="AB51" s="11">
        <v>108</v>
      </c>
      <c r="AC51" s="11"/>
      <c r="AD51" s="11"/>
      <c r="AE51" s="11"/>
      <c r="AF51" s="11">
        <v>388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>
        <v>108</v>
      </c>
      <c r="AR51" s="11"/>
      <c r="AS51" s="11">
        <v>159</v>
      </c>
      <c r="AT51" s="11"/>
      <c r="AU51" s="11">
        <v>121</v>
      </c>
      <c r="AV51" s="11"/>
      <c r="AW51" s="20" t="str">
        <f>HYPERLINK("http://www.openstreetmap.org/?mlat=33.6302&amp;mlon=42.8197&amp;zoom=12#map=12/33.6302/42.8197","Maplink1")</f>
        <v>Maplink1</v>
      </c>
      <c r="AX51" s="20" t="str">
        <f>HYPERLINK("https://www.google.iq/maps/search/+33.6302,42.8197/@33.6302,42.8197,14z?hl=en","Maplink2")</f>
        <v>Maplink2</v>
      </c>
      <c r="AY51" s="20" t="str">
        <f>HYPERLINK("http://www.bing.com/maps/?lvl=14&amp;sty=h&amp;cp=33.6302~42.8197&amp;sp=point.33.6302_42.8197","Maplink3")</f>
        <v>Maplink3</v>
      </c>
    </row>
    <row r="52" spans="1:51" x14ac:dyDescent="0.25">
      <c r="A52" s="9">
        <v>21264</v>
      </c>
      <c r="B52" s="10" t="s">
        <v>8</v>
      </c>
      <c r="C52" s="10" t="s">
        <v>82</v>
      </c>
      <c r="D52" s="10" t="s">
        <v>96</v>
      </c>
      <c r="E52" s="10" t="s">
        <v>97</v>
      </c>
      <c r="F52" s="10">
        <v>33.647554</v>
      </c>
      <c r="G52" s="10">
        <v>42.814266000000003</v>
      </c>
      <c r="H52" s="10" t="s">
        <v>79</v>
      </c>
      <c r="I52" s="10" t="s">
        <v>85</v>
      </c>
      <c r="J52" s="10" t="s">
        <v>98</v>
      </c>
      <c r="K52" s="11">
        <v>585</v>
      </c>
      <c r="L52" s="11">
        <v>3510</v>
      </c>
      <c r="M52" s="11">
        <v>550</v>
      </c>
      <c r="N52" s="11"/>
      <c r="O52" s="11"/>
      <c r="P52" s="11"/>
      <c r="Q52" s="11"/>
      <c r="R52" s="11"/>
      <c r="S52" s="11">
        <v>35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>
        <v>585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>
        <v>35</v>
      </c>
      <c r="AR52" s="11"/>
      <c r="AS52" s="11">
        <v>130</v>
      </c>
      <c r="AT52" s="11"/>
      <c r="AU52" s="11">
        <v>420</v>
      </c>
      <c r="AV52" s="11"/>
      <c r="AW52" s="20" t="str">
        <f>HYPERLINK("http://www.openstreetmap.org/?mlat=33.6476&amp;mlon=42.8143&amp;zoom=12#map=12/33.6476/42.8143","Maplink1")</f>
        <v>Maplink1</v>
      </c>
      <c r="AX52" s="20" t="str">
        <f>HYPERLINK("https://www.google.iq/maps/search/+33.6476,42.8143/@33.6476,42.8143,14z?hl=en","Maplink2")</f>
        <v>Maplink2</v>
      </c>
      <c r="AY52" s="20" t="str">
        <f>HYPERLINK("http://www.bing.com/maps/?lvl=14&amp;sty=h&amp;cp=33.6476~42.8143&amp;sp=point.33.6476_42.8143","Maplink3")</f>
        <v>Maplink3</v>
      </c>
    </row>
    <row r="53" spans="1:51" x14ac:dyDescent="0.25">
      <c r="A53" s="9">
        <v>23838</v>
      </c>
      <c r="B53" s="10" t="s">
        <v>8</v>
      </c>
      <c r="C53" s="10" t="s">
        <v>82</v>
      </c>
      <c r="D53" s="10" t="s">
        <v>99</v>
      </c>
      <c r="E53" s="10" t="s">
        <v>100</v>
      </c>
      <c r="F53" s="10">
        <v>33.589885000000002</v>
      </c>
      <c r="G53" s="10">
        <v>42.618650000000002</v>
      </c>
      <c r="H53" s="10" t="s">
        <v>79</v>
      </c>
      <c r="I53" s="10" t="s">
        <v>85</v>
      </c>
      <c r="J53" s="10" t="s">
        <v>101</v>
      </c>
      <c r="K53" s="11">
        <v>548</v>
      </c>
      <c r="L53" s="11">
        <v>3288</v>
      </c>
      <c r="M53" s="11">
        <v>548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548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>
        <v>430</v>
      </c>
      <c r="AT53" s="11"/>
      <c r="AU53" s="11">
        <v>118</v>
      </c>
      <c r="AV53" s="11"/>
      <c r="AW53" s="20" t="str">
        <f>HYPERLINK("http://www.openstreetmap.org/?mlat=33.5899&amp;mlon=42.6187&amp;zoom=12#map=12/33.5899/42.6187","Maplink1")</f>
        <v>Maplink1</v>
      </c>
      <c r="AX53" s="20" t="str">
        <f>HYPERLINK("https://www.google.iq/maps/search/+33.5899,42.6187/@33.5899,42.6187,14z?hl=en","Maplink2")</f>
        <v>Maplink2</v>
      </c>
      <c r="AY53" s="20" t="str">
        <f>HYPERLINK("http://www.bing.com/maps/?lvl=14&amp;sty=h&amp;cp=33.5899~42.6187&amp;sp=point.33.5899_42.6187","Maplink3")</f>
        <v>Maplink3</v>
      </c>
    </row>
    <row r="54" spans="1:51" x14ac:dyDescent="0.25">
      <c r="A54" s="9">
        <v>228</v>
      </c>
      <c r="B54" s="10" t="s">
        <v>8</v>
      </c>
      <c r="C54" s="10" t="s">
        <v>82</v>
      </c>
      <c r="D54" s="10" t="s">
        <v>102</v>
      </c>
      <c r="E54" s="10" t="s">
        <v>103</v>
      </c>
      <c r="F54" s="10">
        <v>33.639259000000003</v>
      </c>
      <c r="G54" s="10">
        <v>42.825597000000002</v>
      </c>
      <c r="H54" s="10" t="s">
        <v>79</v>
      </c>
      <c r="I54" s="10" t="s">
        <v>85</v>
      </c>
      <c r="J54" s="10" t="s">
        <v>104</v>
      </c>
      <c r="K54" s="11">
        <v>884</v>
      </c>
      <c r="L54" s="11">
        <v>5304</v>
      </c>
      <c r="M54" s="11">
        <v>884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884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>
        <v>387</v>
      </c>
      <c r="AT54" s="11"/>
      <c r="AU54" s="11">
        <v>497</v>
      </c>
      <c r="AV54" s="11"/>
      <c r="AW54" s="20" t="str">
        <f>HYPERLINK("http://www.openstreetmap.org/?mlat=33.6393&amp;mlon=42.8256&amp;zoom=12#map=12/33.6393/42.8256","Maplink1")</f>
        <v>Maplink1</v>
      </c>
      <c r="AX54" s="20" t="str">
        <f>HYPERLINK("https://www.google.iq/maps/search/+33.6393,42.8256/@33.6393,42.8256,14z?hl=en","Maplink2")</f>
        <v>Maplink2</v>
      </c>
      <c r="AY54" s="20" t="str">
        <f>HYPERLINK("http://www.bing.com/maps/?lvl=14&amp;sty=h&amp;cp=33.6393~42.8256&amp;sp=point.33.6393_42.8256","Maplink3")</f>
        <v>Maplink3</v>
      </c>
    </row>
    <row r="55" spans="1:51" x14ac:dyDescent="0.25">
      <c r="A55" s="9">
        <v>23839</v>
      </c>
      <c r="B55" s="10" t="s">
        <v>8</v>
      </c>
      <c r="C55" s="10" t="s">
        <v>82</v>
      </c>
      <c r="D55" s="10" t="s">
        <v>955</v>
      </c>
      <c r="E55" s="10" t="s">
        <v>105</v>
      </c>
      <c r="F55" s="10">
        <v>33.594890999999997</v>
      </c>
      <c r="G55" s="10">
        <v>42.613263000000003</v>
      </c>
      <c r="H55" s="10" t="s">
        <v>79</v>
      </c>
      <c r="I55" s="10" t="s">
        <v>85</v>
      </c>
      <c r="J55" s="10" t="s">
        <v>106</v>
      </c>
      <c r="K55" s="11">
        <v>469</v>
      </c>
      <c r="L55" s="11">
        <v>2814</v>
      </c>
      <c r="M55" s="11">
        <v>469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469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>
        <v>197</v>
      </c>
      <c r="AT55" s="11">
        <v>272</v>
      </c>
      <c r="AU55" s="11"/>
      <c r="AV55" s="11"/>
      <c r="AW55" s="20" t="str">
        <f>HYPERLINK("http://www.openstreetmap.org/?mlat=33.5949&amp;mlon=42.6133&amp;zoom=12#map=12/33.5949/42.6133","Maplink1")</f>
        <v>Maplink1</v>
      </c>
      <c r="AX55" s="20" t="str">
        <f>HYPERLINK("https://www.google.iq/maps/search/+33.5949,42.6133/@33.5949,42.6133,14z?hl=en","Maplink2")</f>
        <v>Maplink2</v>
      </c>
      <c r="AY55" s="20" t="str">
        <f>HYPERLINK("http://www.bing.com/maps/?lvl=14&amp;sty=h&amp;cp=33.5949~42.6133&amp;sp=point.33.5949_42.6133","Maplink3")</f>
        <v>Maplink3</v>
      </c>
    </row>
    <row r="56" spans="1:51" x14ac:dyDescent="0.25">
      <c r="A56" s="9">
        <v>29535</v>
      </c>
      <c r="B56" s="10" t="s">
        <v>8</v>
      </c>
      <c r="C56" s="10" t="s">
        <v>82</v>
      </c>
      <c r="D56" s="10" t="s">
        <v>107</v>
      </c>
      <c r="E56" s="10" t="s">
        <v>108</v>
      </c>
      <c r="F56" s="10">
        <v>33.590407999999996</v>
      </c>
      <c r="G56" s="10">
        <v>42.613314000000003</v>
      </c>
      <c r="H56" s="10" t="s">
        <v>79</v>
      </c>
      <c r="I56" s="10" t="s">
        <v>85</v>
      </c>
      <c r="J56" s="10"/>
      <c r="K56" s="11">
        <v>296</v>
      </c>
      <c r="L56" s="11">
        <v>1776</v>
      </c>
      <c r="M56" s="11">
        <v>207</v>
      </c>
      <c r="N56" s="11"/>
      <c r="O56" s="11">
        <v>89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>
        <v>296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v>261</v>
      </c>
      <c r="AQ56" s="11"/>
      <c r="AR56" s="11"/>
      <c r="AS56" s="11">
        <v>35</v>
      </c>
      <c r="AT56" s="11"/>
      <c r="AU56" s="11"/>
      <c r="AV56" s="11"/>
      <c r="AW56" s="20" t="str">
        <f>HYPERLINK("http://www.openstreetmap.org/?mlat=33.5904&amp;mlon=42.6133&amp;zoom=12#map=12/33.5904/42.6133","Maplink1")</f>
        <v>Maplink1</v>
      </c>
      <c r="AX56" s="20" t="str">
        <f>HYPERLINK("https://www.google.iq/maps/search/+33.5904,42.6133/@33.5904,42.6133,14z?hl=en","Maplink2")</f>
        <v>Maplink2</v>
      </c>
      <c r="AY56" s="20" t="str">
        <f>HYPERLINK("http://www.bing.com/maps/?lvl=14&amp;sty=h&amp;cp=33.5904~42.6133&amp;sp=point.33.5904_42.6133","Maplink3")</f>
        <v>Maplink3</v>
      </c>
    </row>
    <row r="57" spans="1:51" x14ac:dyDescent="0.25">
      <c r="A57" s="9">
        <v>219</v>
      </c>
      <c r="B57" s="10" t="s">
        <v>8</v>
      </c>
      <c r="C57" s="10" t="s">
        <v>82</v>
      </c>
      <c r="D57" s="10" t="s">
        <v>109</v>
      </c>
      <c r="E57" s="10" t="s">
        <v>110</v>
      </c>
      <c r="F57" s="10">
        <v>33.636519999999997</v>
      </c>
      <c r="G57" s="10">
        <v>42.817701999999997</v>
      </c>
      <c r="H57" s="10" t="s">
        <v>79</v>
      </c>
      <c r="I57" s="10" t="s">
        <v>85</v>
      </c>
      <c r="J57" s="10" t="s">
        <v>111</v>
      </c>
      <c r="K57" s="11">
        <v>725</v>
      </c>
      <c r="L57" s="11">
        <v>4350</v>
      </c>
      <c r="M57" s="11">
        <v>725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725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>
        <v>258</v>
      </c>
      <c r="AT57" s="11"/>
      <c r="AU57" s="11">
        <v>467</v>
      </c>
      <c r="AV57" s="11"/>
      <c r="AW57" s="20" t="str">
        <f>HYPERLINK("http://www.openstreetmap.org/?mlat=33.6365&amp;mlon=42.8177&amp;zoom=12#map=12/33.6365/42.8177","Maplink1")</f>
        <v>Maplink1</v>
      </c>
      <c r="AX57" s="20" t="str">
        <f>HYPERLINK("https://www.google.iq/maps/search/+33.6365,42.8177/@33.6365,42.8177,14z?hl=en","Maplink2")</f>
        <v>Maplink2</v>
      </c>
      <c r="AY57" s="20" t="str">
        <f>HYPERLINK("http://www.bing.com/maps/?lvl=14&amp;sty=h&amp;cp=33.6365~42.8177&amp;sp=point.33.6365_42.8177","Maplink3")</f>
        <v>Maplink3</v>
      </c>
    </row>
    <row r="58" spans="1:51" x14ac:dyDescent="0.25">
      <c r="A58" s="9">
        <v>23885</v>
      </c>
      <c r="B58" s="10" t="s">
        <v>8</v>
      </c>
      <c r="C58" s="10" t="s">
        <v>82</v>
      </c>
      <c r="D58" s="10" t="s">
        <v>956</v>
      </c>
      <c r="E58" s="10" t="s">
        <v>112</v>
      </c>
      <c r="F58" s="10">
        <v>33.630026000000001</v>
      </c>
      <c r="G58" s="10">
        <v>42.843528999999997</v>
      </c>
      <c r="H58" s="10" t="s">
        <v>79</v>
      </c>
      <c r="I58" s="10" t="s">
        <v>85</v>
      </c>
      <c r="J58" s="10" t="s">
        <v>113</v>
      </c>
      <c r="K58" s="11">
        <v>211</v>
      </c>
      <c r="L58" s="11">
        <v>1266</v>
      </c>
      <c r="M58" s="11">
        <v>211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>
        <v>164</v>
      </c>
      <c r="AG58" s="11"/>
      <c r="AH58" s="11"/>
      <c r="AI58" s="11"/>
      <c r="AJ58" s="11"/>
      <c r="AK58" s="11"/>
      <c r="AL58" s="11">
        <v>47</v>
      </c>
      <c r="AM58" s="11"/>
      <c r="AN58" s="11"/>
      <c r="AO58" s="11"/>
      <c r="AP58" s="11"/>
      <c r="AQ58" s="11"/>
      <c r="AR58" s="11"/>
      <c r="AS58" s="11">
        <v>71</v>
      </c>
      <c r="AT58" s="11"/>
      <c r="AU58" s="11">
        <v>140</v>
      </c>
      <c r="AV58" s="11"/>
      <c r="AW58" s="20" t="str">
        <f>HYPERLINK("http://www.openstreetmap.org/?mlat=33.63&amp;mlon=42.8435&amp;zoom=12#map=12/33.63/42.8435","Maplink1")</f>
        <v>Maplink1</v>
      </c>
      <c r="AX58" s="20" t="str">
        <f>HYPERLINK("https://www.google.iq/maps/search/+33.63,42.8435/@33.63,42.8435,14z?hl=en","Maplink2")</f>
        <v>Maplink2</v>
      </c>
      <c r="AY58" s="20" t="str">
        <f>HYPERLINK("http://www.bing.com/maps/?lvl=14&amp;sty=h&amp;cp=33.63~42.8435&amp;sp=point.33.63_42.8435","Maplink3")</f>
        <v>Maplink3</v>
      </c>
    </row>
    <row r="59" spans="1:51" x14ac:dyDescent="0.25">
      <c r="A59" s="9">
        <v>29536</v>
      </c>
      <c r="B59" s="10" t="s">
        <v>8</v>
      </c>
      <c r="C59" s="10" t="s">
        <v>82</v>
      </c>
      <c r="D59" s="10" t="s">
        <v>114</v>
      </c>
      <c r="E59" s="10" t="s">
        <v>115</v>
      </c>
      <c r="F59" s="10">
        <v>33.589874999999999</v>
      </c>
      <c r="G59" s="10">
        <v>42.609439999999999</v>
      </c>
      <c r="H59" s="10" t="s">
        <v>79</v>
      </c>
      <c r="I59" s="10" t="s">
        <v>85</v>
      </c>
      <c r="J59" s="10"/>
      <c r="K59" s="11">
        <v>434</v>
      </c>
      <c r="L59" s="11">
        <v>2604</v>
      </c>
      <c r="M59" s="11">
        <v>434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434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>
        <v>341</v>
      </c>
      <c r="AT59" s="11">
        <v>93</v>
      </c>
      <c r="AU59" s="11"/>
      <c r="AV59" s="11"/>
      <c r="AW59" s="20" t="str">
        <f>HYPERLINK("http://www.openstreetmap.org/?mlat=33.5899&amp;mlon=42.6094&amp;zoom=12#map=12/33.5899/42.6094","Maplink1")</f>
        <v>Maplink1</v>
      </c>
      <c r="AX59" s="20" t="str">
        <f>HYPERLINK("https://www.google.iq/maps/search/+33.5899,42.6094/@33.5899,42.6094,14z?hl=en","Maplink2")</f>
        <v>Maplink2</v>
      </c>
      <c r="AY59" s="20" t="str">
        <f>HYPERLINK("http://www.bing.com/maps/?lvl=14&amp;sty=h&amp;cp=33.5899~42.6094&amp;sp=point.33.5899_42.6094","Maplink3")</f>
        <v>Maplink3</v>
      </c>
    </row>
    <row r="60" spans="1:51" x14ac:dyDescent="0.25">
      <c r="A60" s="9">
        <v>21231</v>
      </c>
      <c r="B60" s="10" t="s">
        <v>8</v>
      </c>
      <c r="C60" s="10" t="s">
        <v>82</v>
      </c>
      <c r="D60" s="10" t="s">
        <v>116</v>
      </c>
      <c r="E60" s="10" t="s">
        <v>117</v>
      </c>
      <c r="F60" s="10">
        <v>33.638007000000002</v>
      </c>
      <c r="G60" s="10">
        <v>42.836699000000003</v>
      </c>
      <c r="H60" s="10" t="s">
        <v>79</v>
      </c>
      <c r="I60" s="10" t="s">
        <v>85</v>
      </c>
      <c r="J60" s="10" t="s">
        <v>118</v>
      </c>
      <c r="K60" s="11">
        <v>453</v>
      </c>
      <c r="L60" s="11">
        <v>2718</v>
      </c>
      <c r="M60" s="11">
        <v>314</v>
      </c>
      <c r="N60" s="11"/>
      <c r="O60" s="11"/>
      <c r="P60" s="11"/>
      <c r="Q60" s="11"/>
      <c r="R60" s="11"/>
      <c r="S60" s="11">
        <v>139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v>453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>
        <v>139</v>
      </c>
      <c r="AR60" s="11"/>
      <c r="AS60" s="11">
        <v>99</v>
      </c>
      <c r="AT60" s="11">
        <v>99</v>
      </c>
      <c r="AU60" s="11">
        <v>116</v>
      </c>
      <c r="AV60" s="11"/>
      <c r="AW60" s="20" t="str">
        <f>HYPERLINK("http://www.openstreetmap.org/?mlat=33.638&amp;mlon=42.8367&amp;zoom=12#map=12/33.638/42.8367","Maplink1")</f>
        <v>Maplink1</v>
      </c>
      <c r="AX60" s="20" t="str">
        <f>HYPERLINK("https://www.google.iq/maps/search/+33.638,42.8367/@33.638,42.8367,14z?hl=en","Maplink2")</f>
        <v>Maplink2</v>
      </c>
      <c r="AY60" s="20" t="str">
        <f>HYPERLINK("http://www.bing.com/maps/?lvl=14&amp;sty=h&amp;cp=33.638~42.8367&amp;sp=point.33.638_42.8367","Maplink3")</f>
        <v>Maplink3</v>
      </c>
    </row>
    <row r="61" spans="1:51" x14ac:dyDescent="0.25">
      <c r="A61" s="9">
        <v>29537</v>
      </c>
      <c r="B61" s="10" t="s">
        <v>8</v>
      </c>
      <c r="C61" s="10" t="s">
        <v>82</v>
      </c>
      <c r="D61" s="10" t="s">
        <v>119</v>
      </c>
      <c r="E61" s="10" t="s">
        <v>120</v>
      </c>
      <c r="F61" s="10">
        <v>33.587470000000003</v>
      </c>
      <c r="G61" s="10">
        <v>42.608139000000001</v>
      </c>
      <c r="H61" s="10" t="s">
        <v>79</v>
      </c>
      <c r="I61" s="10" t="s">
        <v>85</v>
      </c>
      <c r="J61" s="10"/>
      <c r="K61" s="11">
        <v>408</v>
      </c>
      <c r="L61" s="11">
        <v>2448</v>
      </c>
      <c r="M61" s="11">
        <v>408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v>408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>
        <v>168</v>
      </c>
      <c r="AT61" s="11">
        <v>240</v>
      </c>
      <c r="AU61" s="11"/>
      <c r="AV61" s="11"/>
      <c r="AW61" s="20" t="str">
        <f>HYPERLINK("http://www.openstreetmap.org/?mlat=33.5875&amp;mlon=42.6081&amp;zoom=12#map=12/33.5875/42.6081","Maplink1")</f>
        <v>Maplink1</v>
      </c>
      <c r="AX61" s="20" t="str">
        <f>HYPERLINK("https://www.google.iq/maps/search/+33.5875,42.6081/@33.5875,42.6081,14z?hl=en","Maplink2")</f>
        <v>Maplink2</v>
      </c>
      <c r="AY61" s="20" t="str">
        <f>HYPERLINK("http://www.bing.com/maps/?lvl=14&amp;sty=h&amp;cp=33.5875~42.6081&amp;sp=point.33.5875_42.6081","Maplink3")</f>
        <v>Maplink3</v>
      </c>
    </row>
    <row r="62" spans="1:51" x14ac:dyDescent="0.25">
      <c r="A62" s="9">
        <v>226</v>
      </c>
      <c r="B62" s="10" t="s">
        <v>8</v>
      </c>
      <c r="C62" s="10" t="s">
        <v>82</v>
      </c>
      <c r="D62" s="10" t="s">
        <v>121</v>
      </c>
      <c r="E62" s="10" t="s">
        <v>122</v>
      </c>
      <c r="F62" s="10">
        <v>33.626868000000002</v>
      </c>
      <c r="G62" s="10">
        <v>42.839903</v>
      </c>
      <c r="H62" s="10" t="s">
        <v>79</v>
      </c>
      <c r="I62" s="10" t="s">
        <v>85</v>
      </c>
      <c r="J62" s="10" t="s">
        <v>123</v>
      </c>
      <c r="K62" s="11">
        <v>281</v>
      </c>
      <c r="L62" s="11">
        <v>1686</v>
      </c>
      <c r="M62" s="11">
        <v>281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v>281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>
        <v>105</v>
      </c>
      <c r="AT62" s="11">
        <v>176</v>
      </c>
      <c r="AU62" s="11"/>
      <c r="AV62" s="11"/>
      <c r="AW62" s="20" t="str">
        <f>HYPERLINK("http://www.openstreetmap.org/?mlat=33.6269&amp;mlon=42.8399&amp;zoom=12#map=12/33.6269/42.8399","Maplink1")</f>
        <v>Maplink1</v>
      </c>
      <c r="AX62" s="20" t="str">
        <f>HYPERLINK("https://www.google.iq/maps/search/+33.6269,42.8399/@33.6269,42.8399,14z?hl=en","Maplink2")</f>
        <v>Maplink2</v>
      </c>
      <c r="AY62" s="20" t="str">
        <f>HYPERLINK("http://www.bing.com/maps/?lvl=14&amp;sty=h&amp;cp=33.6269~42.8399&amp;sp=point.33.6269_42.8399","Maplink3")</f>
        <v>Maplink3</v>
      </c>
    </row>
    <row r="63" spans="1:51" x14ac:dyDescent="0.25">
      <c r="A63" s="9">
        <v>53</v>
      </c>
      <c r="B63" s="10" t="s">
        <v>8</v>
      </c>
      <c r="C63" s="10" t="s">
        <v>82</v>
      </c>
      <c r="D63" s="10" t="s">
        <v>1246</v>
      </c>
      <c r="E63" s="10" t="s">
        <v>124</v>
      </c>
      <c r="F63" s="10">
        <v>33.698059999999998</v>
      </c>
      <c r="G63" s="10">
        <v>42.746380000000002</v>
      </c>
      <c r="H63" s="10" t="s">
        <v>79</v>
      </c>
      <c r="I63" s="10" t="s">
        <v>85</v>
      </c>
      <c r="J63" s="10" t="s">
        <v>125</v>
      </c>
      <c r="K63" s="11">
        <v>455</v>
      </c>
      <c r="L63" s="11">
        <v>2730</v>
      </c>
      <c r="M63" s="11">
        <v>258</v>
      </c>
      <c r="N63" s="11"/>
      <c r="O63" s="11">
        <v>197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v>455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>
        <v>197</v>
      </c>
      <c r="AR63" s="11"/>
      <c r="AS63" s="11">
        <v>177</v>
      </c>
      <c r="AT63" s="11">
        <v>81</v>
      </c>
      <c r="AU63" s="11"/>
      <c r="AV63" s="11"/>
      <c r="AW63" s="20" t="str">
        <f>HYPERLINK("http://www.openstreetmap.org/?mlat=33.6981&amp;mlon=42.7464&amp;zoom=12#map=12/33.6981/42.7464","Maplink1")</f>
        <v>Maplink1</v>
      </c>
      <c r="AX63" s="20" t="str">
        <f>HYPERLINK("https://www.google.iq/maps/search/+33.6981,42.7464/@33.6981,42.7464,14z?hl=en","Maplink2")</f>
        <v>Maplink2</v>
      </c>
      <c r="AY63" s="20" t="str">
        <f>HYPERLINK("http://www.bing.com/maps/?lvl=14&amp;sty=h&amp;cp=33.6981~42.7464&amp;sp=point.33.6981_42.7464","Maplink3")</f>
        <v>Maplink3</v>
      </c>
    </row>
    <row r="64" spans="1:51" x14ac:dyDescent="0.25">
      <c r="A64" s="9">
        <v>23835</v>
      </c>
      <c r="B64" s="10" t="s">
        <v>8</v>
      </c>
      <c r="C64" s="10" t="s">
        <v>82</v>
      </c>
      <c r="D64" s="10" t="s">
        <v>1247</v>
      </c>
      <c r="E64" s="10" t="s">
        <v>126</v>
      </c>
      <c r="F64" s="10">
        <v>33.592497000000002</v>
      </c>
      <c r="G64" s="10">
        <v>42.623727000000002</v>
      </c>
      <c r="H64" s="10" t="s">
        <v>79</v>
      </c>
      <c r="I64" s="10" t="s">
        <v>85</v>
      </c>
      <c r="J64" s="10" t="s">
        <v>127</v>
      </c>
      <c r="K64" s="11">
        <v>310</v>
      </c>
      <c r="L64" s="11">
        <v>1860</v>
      </c>
      <c r="M64" s="11">
        <v>310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310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>
        <v>115</v>
      </c>
      <c r="AQ64" s="11"/>
      <c r="AR64" s="11"/>
      <c r="AS64" s="11">
        <v>73</v>
      </c>
      <c r="AT64" s="11"/>
      <c r="AU64" s="11">
        <v>122</v>
      </c>
      <c r="AV64" s="11"/>
      <c r="AW64" s="20" t="str">
        <f>HYPERLINK("http://www.openstreetmap.org/?mlat=33.5925&amp;mlon=42.6237&amp;zoom=12#map=12/33.5925/42.6237","Maplink1")</f>
        <v>Maplink1</v>
      </c>
      <c r="AX64" s="20" t="str">
        <f>HYPERLINK("https://www.google.iq/maps/search/+33.5925,42.6237/@33.5925,42.6237,14z?hl=en","Maplink2")</f>
        <v>Maplink2</v>
      </c>
      <c r="AY64" s="20" t="str">
        <f>HYPERLINK("http://www.bing.com/maps/?lvl=14&amp;sty=h&amp;cp=33.5925~42.6237&amp;sp=point.33.5925_42.6237","Maplink3")</f>
        <v>Maplink3</v>
      </c>
    </row>
    <row r="65" spans="1:51" x14ac:dyDescent="0.25">
      <c r="A65" s="9">
        <v>5</v>
      </c>
      <c r="B65" s="10" t="s">
        <v>8</v>
      </c>
      <c r="C65" s="10" t="s">
        <v>82</v>
      </c>
      <c r="D65" s="10" t="s">
        <v>128</v>
      </c>
      <c r="E65" s="10" t="s">
        <v>129</v>
      </c>
      <c r="F65" s="10">
        <v>33.591861000000002</v>
      </c>
      <c r="G65" s="10">
        <v>42.611404999999998</v>
      </c>
      <c r="H65" s="10" t="s">
        <v>79</v>
      </c>
      <c r="I65" s="10" t="s">
        <v>85</v>
      </c>
      <c r="J65" s="10" t="s">
        <v>130</v>
      </c>
      <c r="K65" s="11">
        <v>669</v>
      </c>
      <c r="L65" s="11">
        <v>4014</v>
      </c>
      <c r="M65" s="11">
        <v>494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>
        <v>175</v>
      </c>
      <c r="AC65" s="11"/>
      <c r="AD65" s="11"/>
      <c r="AE65" s="11"/>
      <c r="AF65" s="11">
        <v>669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>
        <v>454</v>
      </c>
      <c r="AT65" s="11"/>
      <c r="AU65" s="11">
        <v>215</v>
      </c>
      <c r="AV65" s="11"/>
      <c r="AW65" s="20" t="str">
        <f>HYPERLINK("http://www.openstreetmap.org/?mlat=33.5919&amp;mlon=42.6114&amp;zoom=12#map=12/33.5919/42.6114","Maplink1")</f>
        <v>Maplink1</v>
      </c>
      <c r="AX65" s="20" t="str">
        <f>HYPERLINK("https://www.google.iq/maps/search/+33.5919,42.6114/@33.5919,42.6114,14z?hl=en","Maplink2")</f>
        <v>Maplink2</v>
      </c>
      <c r="AY65" s="20" t="str">
        <f>HYPERLINK("http://www.bing.com/maps/?lvl=14&amp;sty=h&amp;cp=33.5919~42.6114&amp;sp=point.33.5919_42.6114","Maplink3")</f>
        <v>Maplink3</v>
      </c>
    </row>
    <row r="66" spans="1:51" x14ac:dyDescent="0.25">
      <c r="A66" s="9">
        <v>191</v>
      </c>
      <c r="B66" s="10" t="s">
        <v>8</v>
      </c>
      <c r="C66" s="10" t="s">
        <v>82</v>
      </c>
      <c r="D66" s="10" t="s">
        <v>131</v>
      </c>
      <c r="E66" s="10" t="s">
        <v>132</v>
      </c>
      <c r="F66" s="10">
        <v>33.642051000000002</v>
      </c>
      <c r="G66" s="10">
        <v>42.812998999999998</v>
      </c>
      <c r="H66" s="10" t="s">
        <v>79</v>
      </c>
      <c r="I66" s="10" t="s">
        <v>85</v>
      </c>
      <c r="J66" s="10" t="s">
        <v>133</v>
      </c>
      <c r="K66" s="11">
        <v>677</v>
      </c>
      <c r="L66" s="11">
        <v>4062</v>
      </c>
      <c r="M66" s="11">
        <v>527</v>
      </c>
      <c r="N66" s="11"/>
      <c r="O66" s="11">
        <v>150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677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>
        <v>401</v>
      </c>
      <c r="AT66" s="11">
        <v>128</v>
      </c>
      <c r="AU66" s="11">
        <v>148</v>
      </c>
      <c r="AV66" s="11"/>
      <c r="AW66" s="20" t="str">
        <f>HYPERLINK("http://www.openstreetmap.org/?mlat=33.6421&amp;mlon=42.813&amp;zoom=12#map=12/33.6421/42.813","Maplink1")</f>
        <v>Maplink1</v>
      </c>
      <c r="AX66" s="20" t="str">
        <f>HYPERLINK("https://www.google.iq/maps/search/+33.6421,42.813/@33.6421,42.813,14z?hl=en","Maplink2")</f>
        <v>Maplink2</v>
      </c>
      <c r="AY66" s="20" t="str">
        <f>HYPERLINK("http://www.bing.com/maps/?lvl=14&amp;sty=h&amp;cp=33.6421~42.813&amp;sp=point.33.6421_42.813","Maplink3")</f>
        <v>Maplink3</v>
      </c>
    </row>
    <row r="67" spans="1:51" x14ac:dyDescent="0.25">
      <c r="A67" s="9">
        <v>194</v>
      </c>
      <c r="B67" s="10" t="s">
        <v>8</v>
      </c>
      <c r="C67" s="10" t="s">
        <v>82</v>
      </c>
      <c r="D67" s="10" t="s">
        <v>134</v>
      </c>
      <c r="E67" s="10" t="s">
        <v>135</v>
      </c>
      <c r="F67" s="10">
        <v>33.631995000000003</v>
      </c>
      <c r="G67" s="10">
        <v>42.839765999999997</v>
      </c>
      <c r="H67" s="10" t="s">
        <v>79</v>
      </c>
      <c r="I67" s="10" t="s">
        <v>85</v>
      </c>
      <c r="J67" s="10" t="s">
        <v>136</v>
      </c>
      <c r="K67" s="11">
        <v>399</v>
      </c>
      <c r="L67" s="11">
        <v>2394</v>
      </c>
      <c r="M67" s="11">
        <v>301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>
        <v>98</v>
      </c>
      <c r="AC67" s="11"/>
      <c r="AD67" s="11"/>
      <c r="AE67" s="11"/>
      <c r="AF67" s="11">
        <v>399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>
        <v>98</v>
      </c>
      <c r="AR67" s="11"/>
      <c r="AS67" s="11">
        <v>115</v>
      </c>
      <c r="AT67" s="11"/>
      <c r="AU67" s="11">
        <v>186</v>
      </c>
      <c r="AV67" s="11"/>
      <c r="AW67" s="20" t="str">
        <f>HYPERLINK("http://www.openstreetmap.org/?mlat=33.632&amp;mlon=42.8398&amp;zoom=12#map=12/33.632/42.8398","Maplink1")</f>
        <v>Maplink1</v>
      </c>
      <c r="AX67" s="20" t="str">
        <f>HYPERLINK("https://www.google.iq/maps/search/+33.632,42.8398/@33.632,42.8398,14z?hl=en","Maplink2")</f>
        <v>Maplink2</v>
      </c>
      <c r="AY67" s="20" t="str">
        <f>HYPERLINK("http://www.bing.com/maps/?lvl=14&amp;sty=h&amp;cp=33.632~42.8398&amp;sp=point.33.632_42.8398","Maplink3")</f>
        <v>Maplink3</v>
      </c>
    </row>
    <row r="68" spans="1:51" x14ac:dyDescent="0.25">
      <c r="A68" s="9">
        <v>23889</v>
      </c>
      <c r="B68" s="10" t="s">
        <v>8</v>
      </c>
      <c r="C68" s="10" t="s">
        <v>137</v>
      </c>
      <c r="D68" s="10" t="s">
        <v>1014</v>
      </c>
      <c r="E68" s="10" t="s">
        <v>1248</v>
      </c>
      <c r="F68" s="10">
        <v>33.412630999999998</v>
      </c>
      <c r="G68" s="10">
        <v>43.183388000000001</v>
      </c>
      <c r="H68" s="10" t="s">
        <v>79</v>
      </c>
      <c r="I68" s="10" t="s">
        <v>139</v>
      </c>
      <c r="J68" s="10" t="s">
        <v>845</v>
      </c>
      <c r="K68" s="11">
        <v>446</v>
      </c>
      <c r="L68" s="11">
        <v>2676</v>
      </c>
      <c r="M68" s="11">
        <v>30</v>
      </c>
      <c r="N68" s="11"/>
      <c r="O68" s="11"/>
      <c r="P68" s="11"/>
      <c r="Q68" s="11"/>
      <c r="R68" s="11"/>
      <c r="S68" s="11">
        <v>136</v>
      </c>
      <c r="T68" s="11"/>
      <c r="U68" s="11">
        <v>280</v>
      </c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446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>
        <v>30</v>
      </c>
      <c r="AR68" s="11"/>
      <c r="AS68" s="11">
        <v>280</v>
      </c>
      <c r="AT68" s="11">
        <v>136</v>
      </c>
      <c r="AU68" s="11"/>
      <c r="AV68" s="11"/>
      <c r="AW68" s="20" t="str">
        <f>HYPERLINK("http://www.openstreetmap.org/?mlat=33.4126&amp;mlon=43.1834&amp;zoom=12#map=12/33.4126/43.1834","Maplink1")</f>
        <v>Maplink1</v>
      </c>
      <c r="AX68" s="20" t="str">
        <f>HYPERLINK("https://www.google.iq/maps/search/+33.4126,43.1834/@33.4126,43.1834,14z?hl=en","Maplink2")</f>
        <v>Maplink2</v>
      </c>
      <c r="AY68" s="20" t="str">
        <f>HYPERLINK("http://www.bing.com/maps/?lvl=14&amp;sty=h&amp;cp=33.4126~43.1834&amp;sp=point.33.4126_43.1834","Maplink3")</f>
        <v>Maplink3</v>
      </c>
    </row>
    <row r="69" spans="1:51" x14ac:dyDescent="0.25">
      <c r="A69" s="9">
        <v>23858</v>
      </c>
      <c r="B69" s="10" t="s">
        <v>8</v>
      </c>
      <c r="C69" s="10" t="s">
        <v>137</v>
      </c>
      <c r="D69" s="10" t="s">
        <v>1407</v>
      </c>
      <c r="E69" s="10" t="s">
        <v>1319</v>
      </c>
      <c r="F69" s="10">
        <v>33.387912</v>
      </c>
      <c r="G69" s="10">
        <v>43.532187</v>
      </c>
      <c r="H69" s="10" t="s">
        <v>79</v>
      </c>
      <c r="I69" s="10" t="s">
        <v>139</v>
      </c>
      <c r="J69" s="10" t="s">
        <v>1320</v>
      </c>
      <c r="K69" s="11">
        <v>77</v>
      </c>
      <c r="L69" s="11">
        <v>462</v>
      </c>
      <c r="M69" s="11">
        <v>77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77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>
        <v>77</v>
      </c>
      <c r="AV69" s="11"/>
      <c r="AW69" s="20" t="str">
        <f>HYPERLINK("http://www.openstreetmap.org/?mlat=33.3879&amp;mlon=43.5322&amp;zoom=12#map=12/33.3879/43.5322","Maplink1")</f>
        <v>Maplink1</v>
      </c>
      <c r="AX69" s="20" t="str">
        <f>HYPERLINK("https://www.google.iq/maps/search/+33.3879,43.5322/@33.3879,43.5322,14z?hl=en","Maplink2")</f>
        <v>Maplink2</v>
      </c>
      <c r="AY69" s="20" t="str">
        <f>HYPERLINK("http://www.bing.com/maps/?lvl=14&amp;sty=h&amp;cp=33.3879~43.5322&amp;sp=point.33.3879_43.5322","Maplink3")</f>
        <v>Maplink3</v>
      </c>
    </row>
    <row r="70" spans="1:51" x14ac:dyDescent="0.25">
      <c r="A70" s="9">
        <v>133</v>
      </c>
      <c r="B70" s="10" t="s">
        <v>8</v>
      </c>
      <c r="C70" s="10" t="s">
        <v>137</v>
      </c>
      <c r="D70" s="10" t="s">
        <v>865</v>
      </c>
      <c r="E70" s="10" t="s">
        <v>866</v>
      </c>
      <c r="F70" s="10">
        <v>33.414760999999999</v>
      </c>
      <c r="G70" s="10">
        <v>43.306842000000003</v>
      </c>
      <c r="H70" s="10" t="s">
        <v>79</v>
      </c>
      <c r="I70" s="10" t="s">
        <v>139</v>
      </c>
      <c r="J70" s="10" t="s">
        <v>867</v>
      </c>
      <c r="K70" s="11">
        <v>855</v>
      </c>
      <c r="L70" s="11">
        <v>5130</v>
      </c>
      <c r="M70" s="11">
        <v>370</v>
      </c>
      <c r="N70" s="11"/>
      <c r="O70" s="11"/>
      <c r="P70" s="11"/>
      <c r="Q70" s="11"/>
      <c r="R70" s="11"/>
      <c r="S70" s="11">
        <v>165</v>
      </c>
      <c r="T70" s="11"/>
      <c r="U70" s="11"/>
      <c r="V70" s="11"/>
      <c r="W70" s="11"/>
      <c r="X70" s="11"/>
      <c r="Y70" s="11"/>
      <c r="Z70" s="11"/>
      <c r="AA70" s="11"/>
      <c r="AB70" s="11">
        <v>320</v>
      </c>
      <c r="AC70" s="11"/>
      <c r="AD70" s="11"/>
      <c r="AE70" s="11"/>
      <c r="AF70" s="11">
        <v>855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>
        <v>45</v>
      </c>
      <c r="AQ70" s="11"/>
      <c r="AR70" s="11"/>
      <c r="AS70" s="11">
        <v>320</v>
      </c>
      <c r="AT70" s="11">
        <v>490</v>
      </c>
      <c r="AU70" s="11"/>
      <c r="AV70" s="11"/>
      <c r="AW70" s="20" t="str">
        <f>HYPERLINK("http://www.openstreetmap.org/?mlat=33.4148&amp;mlon=43.3068&amp;zoom=12#map=12/33.4148/43.3068","Maplink1")</f>
        <v>Maplink1</v>
      </c>
      <c r="AX70" s="20" t="str">
        <f>HYPERLINK("https://www.google.iq/maps/search/+33.4148,43.3068/@33.4148,43.3068,14z?hl=en","Maplink2")</f>
        <v>Maplink2</v>
      </c>
      <c r="AY70" s="20" t="str">
        <f>HYPERLINK("http://www.bing.com/maps/?lvl=14&amp;sty=h&amp;cp=33.4148~43.3068&amp;sp=point.33.4148_43.3068","Maplink3")</f>
        <v>Maplink3</v>
      </c>
    </row>
    <row r="71" spans="1:51" x14ac:dyDescent="0.25">
      <c r="A71" s="9">
        <v>132</v>
      </c>
      <c r="B71" s="10" t="s">
        <v>8</v>
      </c>
      <c r="C71" s="10" t="s">
        <v>137</v>
      </c>
      <c r="D71" s="10" t="s">
        <v>837</v>
      </c>
      <c r="E71" s="10" t="s">
        <v>838</v>
      </c>
      <c r="F71" s="10">
        <v>33.422457999999999</v>
      </c>
      <c r="G71" s="10">
        <v>43.303907000000002</v>
      </c>
      <c r="H71" s="10" t="s">
        <v>79</v>
      </c>
      <c r="I71" s="10" t="s">
        <v>139</v>
      </c>
      <c r="J71" s="10" t="s">
        <v>839</v>
      </c>
      <c r="K71" s="11">
        <v>1247</v>
      </c>
      <c r="L71" s="11">
        <v>7482</v>
      </c>
      <c r="M71" s="11">
        <v>1247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v>1247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v>313</v>
      </c>
      <c r="AQ71" s="11"/>
      <c r="AR71" s="11"/>
      <c r="AS71" s="11">
        <v>303</v>
      </c>
      <c r="AT71" s="11">
        <v>631</v>
      </c>
      <c r="AU71" s="11"/>
      <c r="AV71" s="11"/>
      <c r="AW71" s="20" t="str">
        <f>HYPERLINK("http://www.openstreetmap.org/?mlat=33.4225&amp;mlon=43.3039&amp;zoom=12#map=12/33.4225/43.3039","Maplink1")</f>
        <v>Maplink1</v>
      </c>
      <c r="AX71" s="20" t="str">
        <f>HYPERLINK("https://www.google.iq/maps/search/+33.4225,43.3039/@33.4225,43.3039,14z?hl=en","Maplink2")</f>
        <v>Maplink2</v>
      </c>
      <c r="AY71" s="20" t="str">
        <f>HYPERLINK("http://www.bing.com/maps/?lvl=14&amp;sty=h&amp;cp=33.4225~43.3039&amp;sp=point.33.4225_43.3039","Maplink3")</f>
        <v>Maplink3</v>
      </c>
    </row>
    <row r="72" spans="1:51" x14ac:dyDescent="0.25">
      <c r="A72" s="9">
        <v>25650</v>
      </c>
      <c r="B72" s="10" t="s">
        <v>8</v>
      </c>
      <c r="C72" s="10" t="s">
        <v>137</v>
      </c>
      <c r="D72" s="10" t="s">
        <v>868</v>
      </c>
      <c r="E72" s="10" t="s">
        <v>869</v>
      </c>
      <c r="F72" s="10">
        <v>33.411586</v>
      </c>
      <c r="G72" s="10">
        <v>43.308807000000002</v>
      </c>
      <c r="H72" s="10" t="s">
        <v>79</v>
      </c>
      <c r="I72" s="10" t="s">
        <v>139</v>
      </c>
      <c r="J72" s="10"/>
      <c r="K72" s="11">
        <v>975</v>
      </c>
      <c r="L72" s="11">
        <v>5850</v>
      </c>
      <c r="M72" s="11">
        <v>601</v>
      </c>
      <c r="N72" s="11"/>
      <c r="O72" s="11">
        <v>374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>
        <v>975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>
        <v>175</v>
      </c>
      <c r="AQ72" s="11"/>
      <c r="AR72" s="11"/>
      <c r="AS72" s="11"/>
      <c r="AT72" s="11">
        <v>566</v>
      </c>
      <c r="AU72" s="11">
        <v>234</v>
      </c>
      <c r="AV72" s="11"/>
      <c r="AW72" s="20" t="str">
        <f>HYPERLINK("http://www.openstreetmap.org/?mlat=33.4116&amp;mlon=43.3088&amp;zoom=12#map=12/33.4116/43.3088","Maplink1")</f>
        <v>Maplink1</v>
      </c>
      <c r="AX72" s="20" t="str">
        <f>HYPERLINK("https://www.google.iq/maps/search/+33.4116,43.3088/@33.4116,43.3088,14z?hl=en","Maplink2")</f>
        <v>Maplink2</v>
      </c>
      <c r="AY72" s="20" t="str">
        <f>HYPERLINK("http://www.bing.com/maps/?lvl=14&amp;sty=h&amp;cp=33.4116~43.3088&amp;sp=point.33.4116_43.3088","Maplink3")</f>
        <v>Maplink3</v>
      </c>
    </row>
    <row r="73" spans="1:51" x14ac:dyDescent="0.25">
      <c r="A73" s="9">
        <v>117</v>
      </c>
      <c r="B73" s="10" t="s">
        <v>8</v>
      </c>
      <c r="C73" s="10" t="s">
        <v>137</v>
      </c>
      <c r="D73" s="10" t="s">
        <v>957</v>
      </c>
      <c r="E73" s="10" t="s">
        <v>870</v>
      </c>
      <c r="F73" s="10">
        <v>33.428213999999997</v>
      </c>
      <c r="G73" s="10">
        <v>43.296959000000001</v>
      </c>
      <c r="H73" s="10" t="s">
        <v>79</v>
      </c>
      <c r="I73" s="10" t="s">
        <v>139</v>
      </c>
      <c r="J73" s="10" t="s">
        <v>871</v>
      </c>
      <c r="K73" s="11">
        <v>773</v>
      </c>
      <c r="L73" s="11">
        <v>4638</v>
      </c>
      <c r="M73" s="11">
        <v>288</v>
      </c>
      <c r="N73" s="11"/>
      <c r="O73" s="11">
        <v>485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732</v>
      </c>
      <c r="AG73" s="11"/>
      <c r="AH73" s="11"/>
      <c r="AI73" s="11"/>
      <c r="AJ73" s="11"/>
      <c r="AK73" s="11"/>
      <c r="AL73" s="11">
        <v>41</v>
      </c>
      <c r="AM73" s="11"/>
      <c r="AN73" s="11"/>
      <c r="AO73" s="11"/>
      <c r="AP73" s="11">
        <v>54</v>
      </c>
      <c r="AQ73" s="11"/>
      <c r="AR73" s="11"/>
      <c r="AS73" s="11"/>
      <c r="AT73" s="11">
        <v>719</v>
      </c>
      <c r="AU73" s="11"/>
      <c r="AV73" s="11"/>
      <c r="AW73" s="20" t="str">
        <f>HYPERLINK("http://www.openstreetmap.org/?mlat=33.4282&amp;mlon=43.297&amp;zoom=12#map=12/33.4282/43.297","Maplink1")</f>
        <v>Maplink1</v>
      </c>
      <c r="AX73" s="20" t="str">
        <f>HYPERLINK("https://www.google.iq/maps/search/+33.4282,43.297/@33.4282,43.297,14z?hl=en","Maplink2")</f>
        <v>Maplink2</v>
      </c>
      <c r="AY73" s="20" t="str">
        <f>HYPERLINK("http://www.bing.com/maps/?lvl=14&amp;sty=h&amp;cp=33.4282~43.297&amp;sp=point.33.4282_43.297","Maplink3")</f>
        <v>Maplink3</v>
      </c>
    </row>
    <row r="74" spans="1:51" x14ac:dyDescent="0.25">
      <c r="A74" s="9">
        <v>29579</v>
      </c>
      <c r="B74" s="10" t="s">
        <v>8</v>
      </c>
      <c r="C74" s="10" t="s">
        <v>137</v>
      </c>
      <c r="D74" s="10" t="s">
        <v>846</v>
      </c>
      <c r="E74" s="10" t="s">
        <v>847</v>
      </c>
      <c r="F74" s="10">
        <v>33.412533000000003</v>
      </c>
      <c r="G74" s="10">
        <v>43.308374000000001</v>
      </c>
      <c r="H74" s="10" t="s">
        <v>79</v>
      </c>
      <c r="I74" s="10" t="s">
        <v>139</v>
      </c>
      <c r="J74" s="10"/>
      <c r="K74" s="11">
        <v>1310</v>
      </c>
      <c r="L74" s="11">
        <v>7860</v>
      </c>
      <c r="M74" s="11">
        <v>36</v>
      </c>
      <c r="N74" s="11"/>
      <c r="O74" s="11">
        <v>466</v>
      </c>
      <c r="P74" s="11"/>
      <c r="Q74" s="11"/>
      <c r="R74" s="11"/>
      <c r="S74" s="11">
        <v>389</v>
      </c>
      <c r="T74" s="11"/>
      <c r="U74" s="11">
        <v>419</v>
      </c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v>1310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>
        <v>419</v>
      </c>
      <c r="AQ74" s="11"/>
      <c r="AR74" s="11"/>
      <c r="AS74" s="11">
        <v>389</v>
      </c>
      <c r="AT74" s="11">
        <v>502</v>
      </c>
      <c r="AU74" s="11"/>
      <c r="AV74" s="11"/>
      <c r="AW74" s="20" t="str">
        <f>HYPERLINK("http://www.openstreetmap.org/?mlat=33.4125&amp;mlon=43.3084&amp;zoom=12#map=12/33.4125/43.3084","Maplink1")</f>
        <v>Maplink1</v>
      </c>
      <c r="AX74" s="20" t="str">
        <f>HYPERLINK("https://www.google.iq/maps/search/+33.4125,43.3084/@33.4125,43.3084,14z?hl=en","Maplink2")</f>
        <v>Maplink2</v>
      </c>
      <c r="AY74" s="20" t="str">
        <f>HYPERLINK("http://www.bing.com/maps/?lvl=14&amp;sty=h&amp;cp=33.4125~43.3084&amp;sp=point.33.4125_43.3084","Maplink3")</f>
        <v>Maplink3</v>
      </c>
    </row>
    <row r="75" spans="1:51" x14ac:dyDescent="0.25">
      <c r="A75" s="9">
        <v>29580</v>
      </c>
      <c r="B75" s="10" t="s">
        <v>8</v>
      </c>
      <c r="C75" s="10" t="s">
        <v>137</v>
      </c>
      <c r="D75" s="10" t="s">
        <v>848</v>
      </c>
      <c r="E75" s="10" t="s">
        <v>849</v>
      </c>
      <c r="F75" s="10">
        <v>33.420703000000003</v>
      </c>
      <c r="G75" s="10">
        <v>43.291817000000002</v>
      </c>
      <c r="H75" s="10" t="s">
        <v>79</v>
      </c>
      <c r="I75" s="10" t="s">
        <v>139</v>
      </c>
      <c r="J75" s="10"/>
      <c r="K75" s="11">
        <v>812</v>
      </c>
      <c r="L75" s="11">
        <v>4872</v>
      </c>
      <c r="M75" s="11">
        <v>186</v>
      </c>
      <c r="N75" s="11"/>
      <c r="O75" s="11"/>
      <c r="P75" s="11"/>
      <c r="Q75" s="11"/>
      <c r="R75" s="11"/>
      <c r="S75" s="11">
        <v>265</v>
      </c>
      <c r="T75" s="11"/>
      <c r="U75" s="11"/>
      <c r="V75" s="11"/>
      <c r="W75" s="11"/>
      <c r="X75" s="11"/>
      <c r="Y75" s="11"/>
      <c r="Z75" s="11"/>
      <c r="AA75" s="11"/>
      <c r="AB75" s="11">
        <v>361</v>
      </c>
      <c r="AC75" s="11"/>
      <c r="AD75" s="11"/>
      <c r="AE75" s="11"/>
      <c r="AF75" s="11">
        <v>812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>
        <v>626</v>
      </c>
      <c r="AT75" s="11">
        <v>186</v>
      </c>
      <c r="AU75" s="11"/>
      <c r="AV75" s="11"/>
      <c r="AW75" s="20" t="str">
        <f>HYPERLINK("http://www.openstreetmap.org/?mlat=33.4207&amp;mlon=43.2918&amp;zoom=12#map=12/33.4207/43.2918","Maplink1")</f>
        <v>Maplink1</v>
      </c>
      <c r="AX75" s="20" t="str">
        <f>HYPERLINK("https://www.google.iq/maps/search/+33.4207,43.2918/@33.4207,43.2918,14z?hl=en","Maplink2")</f>
        <v>Maplink2</v>
      </c>
      <c r="AY75" s="20" t="str">
        <f>HYPERLINK("http://www.bing.com/maps/?lvl=14&amp;sty=h&amp;cp=33.4207~43.2918&amp;sp=point.33.4207_43.2918","Maplink3")</f>
        <v>Maplink3</v>
      </c>
    </row>
    <row r="76" spans="1:51" x14ac:dyDescent="0.25">
      <c r="A76" s="9">
        <v>311</v>
      </c>
      <c r="B76" s="10" t="s">
        <v>8</v>
      </c>
      <c r="C76" s="10" t="s">
        <v>137</v>
      </c>
      <c r="D76" s="10" t="s">
        <v>1015</v>
      </c>
      <c r="E76" s="10" t="s">
        <v>143</v>
      </c>
      <c r="F76" s="10">
        <v>33.430456</v>
      </c>
      <c r="G76" s="10">
        <v>43.292997999999997</v>
      </c>
      <c r="H76" s="10" t="s">
        <v>79</v>
      </c>
      <c r="I76" s="10" t="s">
        <v>139</v>
      </c>
      <c r="J76" s="10" t="s">
        <v>144</v>
      </c>
      <c r="K76" s="11">
        <v>1617</v>
      </c>
      <c r="L76" s="11">
        <v>9702</v>
      </c>
      <c r="M76" s="11">
        <v>1152</v>
      </c>
      <c r="N76" s="11"/>
      <c r="O76" s="11">
        <v>153</v>
      </c>
      <c r="P76" s="11"/>
      <c r="Q76" s="11"/>
      <c r="R76" s="11"/>
      <c r="S76" s="11"/>
      <c r="T76" s="11"/>
      <c r="U76" s="11">
        <v>312</v>
      </c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>
        <v>1617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v>856</v>
      </c>
      <c r="AQ76" s="11">
        <v>312</v>
      </c>
      <c r="AR76" s="11"/>
      <c r="AS76" s="11">
        <v>241</v>
      </c>
      <c r="AT76" s="11">
        <v>208</v>
      </c>
      <c r="AU76" s="11"/>
      <c r="AV76" s="11"/>
      <c r="AW76" s="20" t="str">
        <f>HYPERLINK("http://www.openstreetmap.org/?mlat=33.4305&amp;mlon=43.293&amp;zoom=12#map=12/33.4305/43.293","Maplink1")</f>
        <v>Maplink1</v>
      </c>
      <c r="AX76" s="20" t="str">
        <f>HYPERLINK("https://www.google.iq/maps/search/+33.4305,43.293/@33.4305,43.293,14z?hl=en","Maplink2")</f>
        <v>Maplink2</v>
      </c>
      <c r="AY76" s="20" t="str">
        <f>HYPERLINK("http://www.bing.com/maps/?lvl=14&amp;sty=h&amp;cp=33.4305~43.293&amp;sp=point.33.4305_43.293","Maplink3")</f>
        <v>Maplink3</v>
      </c>
    </row>
    <row r="77" spans="1:51" x14ac:dyDescent="0.25">
      <c r="A77" s="9">
        <v>25800</v>
      </c>
      <c r="B77" s="10" t="s">
        <v>8</v>
      </c>
      <c r="C77" s="10" t="s">
        <v>137</v>
      </c>
      <c r="D77" s="10" t="s">
        <v>840</v>
      </c>
      <c r="E77" s="10" t="s">
        <v>841</v>
      </c>
      <c r="F77" s="10">
        <v>33.430070999999998</v>
      </c>
      <c r="G77" s="10">
        <v>43.299576000000002</v>
      </c>
      <c r="H77" s="10" t="s">
        <v>79</v>
      </c>
      <c r="I77" s="10" t="s">
        <v>139</v>
      </c>
      <c r="J77" s="10"/>
      <c r="K77" s="11">
        <v>842</v>
      </c>
      <c r="L77" s="11">
        <v>5052</v>
      </c>
      <c r="M77" s="11">
        <v>531</v>
      </c>
      <c r="N77" s="11"/>
      <c r="O77" s="11"/>
      <c r="P77" s="11"/>
      <c r="Q77" s="11"/>
      <c r="R77" s="11"/>
      <c r="S77" s="11"/>
      <c r="T77" s="11"/>
      <c r="U77" s="11">
        <v>221</v>
      </c>
      <c r="V77" s="11"/>
      <c r="W77" s="11"/>
      <c r="X77" s="11"/>
      <c r="Y77" s="11"/>
      <c r="Z77" s="11"/>
      <c r="AA77" s="11">
        <v>90</v>
      </c>
      <c r="AB77" s="11"/>
      <c r="AC77" s="11"/>
      <c r="AD77" s="11"/>
      <c r="AE77" s="11"/>
      <c r="AF77" s="11">
        <v>842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v>752</v>
      </c>
      <c r="AQ77" s="11"/>
      <c r="AR77" s="11"/>
      <c r="AS77" s="11"/>
      <c r="AT77" s="11">
        <v>90</v>
      </c>
      <c r="AU77" s="11"/>
      <c r="AV77" s="11"/>
      <c r="AW77" s="20" t="str">
        <f>HYPERLINK("http://www.openstreetmap.org/?mlat=33.4301&amp;mlon=43.2996&amp;zoom=12#map=12/33.4301/43.2996","Maplink1")</f>
        <v>Maplink1</v>
      </c>
      <c r="AX77" s="20" t="str">
        <f>HYPERLINK("https://www.google.iq/maps/search/+33.4301,43.2996/@33.4301,43.2996,14z?hl=en","Maplink2")</f>
        <v>Maplink2</v>
      </c>
      <c r="AY77" s="20" t="str">
        <f>HYPERLINK("http://www.bing.com/maps/?lvl=14&amp;sty=h&amp;cp=33.4301~43.2996&amp;sp=point.33.4301_43.2996","Maplink3")</f>
        <v>Maplink3</v>
      </c>
    </row>
    <row r="78" spans="1:51" x14ac:dyDescent="0.25">
      <c r="A78" s="9">
        <v>24730</v>
      </c>
      <c r="B78" s="10" t="s">
        <v>8</v>
      </c>
      <c r="C78" s="10" t="s">
        <v>137</v>
      </c>
      <c r="D78" s="10" t="s">
        <v>958</v>
      </c>
      <c r="E78" s="10" t="s">
        <v>140</v>
      </c>
      <c r="F78" s="10">
        <v>33.378565000000002</v>
      </c>
      <c r="G78" s="10">
        <v>43.532009000000002</v>
      </c>
      <c r="H78" s="10" t="s">
        <v>79</v>
      </c>
      <c r="I78" s="10" t="s">
        <v>139</v>
      </c>
      <c r="J78" s="10"/>
      <c r="K78" s="11">
        <v>343</v>
      </c>
      <c r="L78" s="11">
        <v>2058</v>
      </c>
      <c r="M78" s="11">
        <v>57</v>
      </c>
      <c r="N78" s="11"/>
      <c r="O78" s="11">
        <v>286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>
        <v>343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57</v>
      </c>
      <c r="AQ78" s="11"/>
      <c r="AR78" s="11"/>
      <c r="AS78" s="11">
        <v>189</v>
      </c>
      <c r="AT78" s="11">
        <v>97</v>
      </c>
      <c r="AU78" s="11"/>
      <c r="AV78" s="11"/>
      <c r="AW78" s="20" t="str">
        <f>HYPERLINK("http://www.openstreetmap.org/?mlat=33.3786&amp;mlon=43.532&amp;zoom=12#map=12/33.3786/43.532","Maplink1")</f>
        <v>Maplink1</v>
      </c>
      <c r="AX78" s="20" t="str">
        <f>HYPERLINK("https://www.google.iq/maps/search/+33.3786,43.532/@33.3786,43.532,14z?hl=en","Maplink2")</f>
        <v>Maplink2</v>
      </c>
      <c r="AY78" s="20" t="str">
        <f>HYPERLINK("http://www.bing.com/maps/?lvl=14&amp;sty=h&amp;cp=33.3786~43.532&amp;sp=point.33.3786_43.532","Maplink3")</f>
        <v>Maplink3</v>
      </c>
    </row>
    <row r="79" spans="1:51" x14ac:dyDescent="0.25">
      <c r="A79" s="9">
        <v>29581</v>
      </c>
      <c r="B79" s="10" t="s">
        <v>8</v>
      </c>
      <c r="C79" s="10" t="s">
        <v>137</v>
      </c>
      <c r="D79" s="10" t="s">
        <v>850</v>
      </c>
      <c r="E79" s="10" t="s">
        <v>851</v>
      </c>
      <c r="F79" s="10">
        <v>33.415472999999999</v>
      </c>
      <c r="G79" s="10">
        <v>43.220742000000001</v>
      </c>
      <c r="H79" s="10" t="s">
        <v>79</v>
      </c>
      <c r="I79" s="10" t="s">
        <v>139</v>
      </c>
      <c r="J79" s="10"/>
      <c r="K79" s="11">
        <v>694</v>
      </c>
      <c r="L79" s="11">
        <v>4164</v>
      </c>
      <c r="M79" s="11">
        <v>214</v>
      </c>
      <c r="N79" s="11"/>
      <c r="O79" s="11">
        <v>161</v>
      </c>
      <c r="P79" s="11"/>
      <c r="Q79" s="11"/>
      <c r="R79" s="11"/>
      <c r="S79" s="11"/>
      <c r="T79" s="11"/>
      <c r="U79" s="11">
        <v>130</v>
      </c>
      <c r="V79" s="11"/>
      <c r="W79" s="11"/>
      <c r="X79" s="11"/>
      <c r="Y79" s="11"/>
      <c r="Z79" s="11"/>
      <c r="AA79" s="11"/>
      <c r="AB79" s="11">
        <v>189</v>
      </c>
      <c r="AC79" s="11"/>
      <c r="AD79" s="11"/>
      <c r="AE79" s="11"/>
      <c r="AF79" s="11">
        <v>694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>
        <v>130</v>
      </c>
      <c r="AR79" s="11"/>
      <c r="AS79" s="11">
        <v>350</v>
      </c>
      <c r="AT79" s="11">
        <v>214</v>
      </c>
      <c r="AU79" s="11"/>
      <c r="AV79" s="11"/>
      <c r="AW79" s="20" t="str">
        <f>HYPERLINK("http://www.openstreetmap.org/?mlat=33.4155&amp;mlon=43.2207&amp;zoom=12#map=12/33.4155/43.2207","Maplink1")</f>
        <v>Maplink1</v>
      </c>
      <c r="AX79" s="20" t="str">
        <f>HYPERLINK("https://www.google.iq/maps/search/+33.4155,43.2207/@33.4155,43.2207,14z?hl=en","Maplink2")</f>
        <v>Maplink2</v>
      </c>
      <c r="AY79" s="20" t="str">
        <f>HYPERLINK("http://www.bing.com/maps/?lvl=14&amp;sty=h&amp;cp=33.4155~43.2207&amp;sp=point.33.4155_43.2207","Maplink3")</f>
        <v>Maplink3</v>
      </c>
    </row>
    <row r="80" spans="1:51" x14ac:dyDescent="0.25">
      <c r="A80" s="9">
        <v>181</v>
      </c>
      <c r="B80" s="10" t="s">
        <v>8</v>
      </c>
      <c r="C80" s="10" t="s">
        <v>137</v>
      </c>
      <c r="D80" s="10" t="s">
        <v>1016</v>
      </c>
      <c r="E80" s="10" t="s">
        <v>852</v>
      </c>
      <c r="F80" s="10">
        <v>33.408788000000001</v>
      </c>
      <c r="G80" s="10">
        <v>43.287788999999997</v>
      </c>
      <c r="H80" s="10" t="s">
        <v>79</v>
      </c>
      <c r="I80" s="10" t="s">
        <v>139</v>
      </c>
      <c r="J80" s="10" t="s">
        <v>853</v>
      </c>
      <c r="K80" s="11">
        <v>1350</v>
      </c>
      <c r="L80" s="11">
        <v>8100</v>
      </c>
      <c r="M80" s="11">
        <v>302</v>
      </c>
      <c r="N80" s="11"/>
      <c r="O80" s="11">
        <v>465</v>
      </c>
      <c r="P80" s="11"/>
      <c r="Q80" s="11"/>
      <c r="R80" s="11"/>
      <c r="S80" s="11">
        <v>371</v>
      </c>
      <c r="T80" s="11"/>
      <c r="U80" s="11"/>
      <c r="V80" s="11"/>
      <c r="W80" s="11"/>
      <c r="X80" s="11"/>
      <c r="Y80" s="11"/>
      <c r="Z80" s="11"/>
      <c r="AA80" s="11"/>
      <c r="AB80" s="11">
        <v>212</v>
      </c>
      <c r="AC80" s="11"/>
      <c r="AD80" s="11"/>
      <c r="AE80" s="11"/>
      <c r="AF80" s="11">
        <v>1350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>
        <v>126</v>
      </c>
      <c r="AQ80" s="11"/>
      <c r="AR80" s="11"/>
      <c r="AS80" s="11">
        <v>853</v>
      </c>
      <c r="AT80" s="11">
        <v>371</v>
      </c>
      <c r="AU80" s="11"/>
      <c r="AV80" s="11"/>
      <c r="AW80" s="20" t="str">
        <f>HYPERLINK("http://www.openstreetmap.org/?mlat=33.4088&amp;mlon=43.2878&amp;zoom=12#map=12/33.4088/43.2878","Maplink1")</f>
        <v>Maplink1</v>
      </c>
      <c r="AX80" s="20" t="str">
        <f>HYPERLINK("https://www.google.iq/maps/search/+33.4088,43.2878/@33.4088,43.2878,14z?hl=en","Maplink2")</f>
        <v>Maplink2</v>
      </c>
      <c r="AY80" s="20" t="str">
        <f>HYPERLINK("http://www.bing.com/maps/?lvl=14&amp;sty=h&amp;cp=33.4088~43.2878&amp;sp=point.33.4088_43.2878","Maplink3")</f>
        <v>Maplink3</v>
      </c>
    </row>
    <row r="81" spans="1:51" x14ac:dyDescent="0.25">
      <c r="A81" s="9">
        <v>25440</v>
      </c>
      <c r="B81" s="10" t="s">
        <v>8</v>
      </c>
      <c r="C81" s="10" t="s">
        <v>137</v>
      </c>
      <c r="D81" s="10" t="s">
        <v>843</v>
      </c>
      <c r="E81" s="10" t="s">
        <v>832</v>
      </c>
      <c r="F81" s="10">
        <v>33.432822999999999</v>
      </c>
      <c r="G81" s="10">
        <v>43.364002999999997</v>
      </c>
      <c r="H81" s="10" t="s">
        <v>79</v>
      </c>
      <c r="I81" s="10" t="s">
        <v>139</v>
      </c>
      <c r="J81" s="10"/>
      <c r="K81" s="11">
        <v>514</v>
      </c>
      <c r="L81" s="11">
        <v>3084</v>
      </c>
      <c r="M81" s="11">
        <v>193</v>
      </c>
      <c r="N81" s="11"/>
      <c r="O81" s="11">
        <v>321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>
        <v>514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v>193</v>
      </c>
      <c r="AQ81" s="11"/>
      <c r="AR81" s="11"/>
      <c r="AS81" s="11">
        <v>140</v>
      </c>
      <c r="AT81" s="11">
        <v>181</v>
      </c>
      <c r="AU81" s="11"/>
      <c r="AV81" s="11"/>
      <c r="AW81" s="20" t="str">
        <f>HYPERLINK("http://www.openstreetmap.org/?mlat=33.4328&amp;mlon=43.364&amp;zoom=12#map=12/33.4328/43.364","Maplink1")</f>
        <v>Maplink1</v>
      </c>
      <c r="AX81" s="20" t="str">
        <f>HYPERLINK("https://www.google.iq/maps/search/+33.4328,43.364/@33.4328,43.364,14z?hl=en","Maplink2")</f>
        <v>Maplink2</v>
      </c>
      <c r="AY81" s="20" t="str">
        <f>HYPERLINK("http://www.bing.com/maps/?lvl=14&amp;sty=h&amp;cp=33.4328~43.364&amp;sp=point.33.4328_43.364","Maplink3")</f>
        <v>Maplink3</v>
      </c>
    </row>
    <row r="82" spans="1:51" x14ac:dyDescent="0.25">
      <c r="A82" s="9">
        <v>29534</v>
      </c>
      <c r="B82" s="10" t="s">
        <v>8</v>
      </c>
      <c r="C82" s="10" t="s">
        <v>137</v>
      </c>
      <c r="D82" s="10" t="s">
        <v>1017</v>
      </c>
      <c r="E82" s="10" t="s">
        <v>151</v>
      </c>
      <c r="F82" s="10">
        <v>33.398747</v>
      </c>
      <c r="G82" s="10">
        <v>43.281571</v>
      </c>
      <c r="H82" s="10" t="s">
        <v>79</v>
      </c>
      <c r="I82" s="10" t="s">
        <v>139</v>
      </c>
      <c r="J82" s="10"/>
      <c r="K82" s="11">
        <v>814</v>
      </c>
      <c r="L82" s="11">
        <v>4884</v>
      </c>
      <c r="M82" s="11">
        <v>586</v>
      </c>
      <c r="N82" s="11">
        <v>228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>
        <v>814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v>178</v>
      </c>
      <c r="AQ82" s="11"/>
      <c r="AR82" s="11"/>
      <c r="AS82" s="11">
        <v>518</v>
      </c>
      <c r="AT82" s="11">
        <v>118</v>
      </c>
      <c r="AU82" s="11"/>
      <c r="AV82" s="11"/>
      <c r="AW82" s="20" t="str">
        <f>HYPERLINK("http://www.openstreetmap.org/?mlat=33.3987&amp;mlon=43.2816&amp;zoom=12#map=12/33.3987/43.2816","Maplink1")</f>
        <v>Maplink1</v>
      </c>
      <c r="AX82" s="20" t="str">
        <f>HYPERLINK("https://www.google.iq/maps/search/+33.3987,43.2816/@33.3987,43.2816,14z?hl=en","Maplink2")</f>
        <v>Maplink2</v>
      </c>
      <c r="AY82" s="20" t="str">
        <f>HYPERLINK("http://www.bing.com/maps/?lvl=14&amp;sty=h&amp;cp=33.3987~43.2816&amp;sp=point.33.3987_43.2816","Maplink3")</f>
        <v>Maplink3</v>
      </c>
    </row>
    <row r="83" spans="1:51" x14ac:dyDescent="0.25">
      <c r="A83" s="9">
        <v>25442</v>
      </c>
      <c r="B83" s="10" t="s">
        <v>8</v>
      </c>
      <c r="C83" s="10" t="s">
        <v>137</v>
      </c>
      <c r="D83" s="10" t="s">
        <v>1018</v>
      </c>
      <c r="E83" s="10" t="s">
        <v>1019</v>
      </c>
      <c r="F83" s="10">
        <v>33.415956999999999</v>
      </c>
      <c r="G83" s="10">
        <v>43.269649999999999</v>
      </c>
      <c r="H83" s="10" t="s">
        <v>79</v>
      </c>
      <c r="I83" s="10" t="s">
        <v>139</v>
      </c>
      <c r="J83" s="10"/>
      <c r="K83" s="11">
        <v>401</v>
      </c>
      <c r="L83" s="11">
        <v>2406</v>
      </c>
      <c r="M83" s="11">
        <v>192</v>
      </c>
      <c r="N83" s="11"/>
      <c r="O83" s="11"/>
      <c r="P83" s="11"/>
      <c r="Q83" s="11"/>
      <c r="R83" s="11"/>
      <c r="S83" s="11">
        <v>209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>
        <v>304</v>
      </c>
      <c r="AG83" s="11"/>
      <c r="AH83" s="11"/>
      <c r="AI83" s="11"/>
      <c r="AJ83" s="11"/>
      <c r="AK83" s="11"/>
      <c r="AL83" s="11">
        <v>97</v>
      </c>
      <c r="AM83" s="11"/>
      <c r="AN83" s="11"/>
      <c r="AO83" s="11"/>
      <c r="AP83" s="11">
        <v>192</v>
      </c>
      <c r="AQ83" s="11"/>
      <c r="AR83" s="11"/>
      <c r="AS83" s="11">
        <v>209</v>
      </c>
      <c r="AT83" s="11"/>
      <c r="AU83" s="11"/>
      <c r="AV83" s="11"/>
      <c r="AW83" s="20" t="str">
        <f>HYPERLINK("http://www.openstreetmap.org/?mlat=33.416&amp;mlon=43.2696&amp;zoom=12#map=12/33.416/43.2696","Maplink1")</f>
        <v>Maplink1</v>
      </c>
      <c r="AX83" s="20" t="str">
        <f>HYPERLINK("https://www.google.iq/maps/search/+33.416,43.2696/@33.416,43.2696,14z?hl=en","Maplink2")</f>
        <v>Maplink2</v>
      </c>
      <c r="AY83" s="20" t="str">
        <f>HYPERLINK("http://www.bing.com/maps/?lvl=14&amp;sty=h&amp;cp=33.416~43.2696&amp;sp=point.33.416_43.2696","Maplink3")</f>
        <v>Maplink3</v>
      </c>
    </row>
    <row r="84" spans="1:51" x14ac:dyDescent="0.25">
      <c r="A84" s="9">
        <v>115</v>
      </c>
      <c r="B84" s="10" t="s">
        <v>8</v>
      </c>
      <c r="C84" s="10" t="s">
        <v>137</v>
      </c>
      <c r="D84" s="10" t="s">
        <v>1020</v>
      </c>
      <c r="E84" s="10" t="s">
        <v>822</v>
      </c>
      <c r="F84" s="10">
        <v>33.438446999999996</v>
      </c>
      <c r="G84" s="10">
        <v>43.325181000000001</v>
      </c>
      <c r="H84" s="10" t="s">
        <v>79</v>
      </c>
      <c r="I84" s="10" t="s">
        <v>139</v>
      </c>
      <c r="J84" s="10" t="s">
        <v>823</v>
      </c>
      <c r="K84" s="11">
        <v>786</v>
      </c>
      <c r="L84" s="11">
        <v>4716</v>
      </c>
      <c r="M84" s="11">
        <v>607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>
        <v>179</v>
      </c>
      <c r="AC84" s="11"/>
      <c r="AD84" s="11"/>
      <c r="AE84" s="11"/>
      <c r="AF84" s="11">
        <v>688</v>
      </c>
      <c r="AG84" s="11"/>
      <c r="AH84" s="11"/>
      <c r="AI84" s="11"/>
      <c r="AJ84" s="11"/>
      <c r="AK84" s="11"/>
      <c r="AL84" s="11">
        <v>98</v>
      </c>
      <c r="AM84" s="11"/>
      <c r="AN84" s="11"/>
      <c r="AO84" s="11"/>
      <c r="AP84" s="11">
        <v>135</v>
      </c>
      <c r="AQ84" s="11"/>
      <c r="AR84" s="11"/>
      <c r="AS84" s="11">
        <v>140</v>
      </c>
      <c r="AT84" s="11">
        <v>511</v>
      </c>
      <c r="AU84" s="11"/>
      <c r="AV84" s="11"/>
      <c r="AW84" s="20" t="str">
        <f>HYPERLINK("http://www.openstreetmap.org/?mlat=33.4384&amp;mlon=43.3252&amp;zoom=12#map=12/33.4384/43.3252","Maplink1")</f>
        <v>Maplink1</v>
      </c>
      <c r="AX84" s="20" t="str">
        <f>HYPERLINK("https://www.google.iq/maps/search/+33.4384,43.3252/@33.4384,43.3252,14z?hl=en","Maplink2")</f>
        <v>Maplink2</v>
      </c>
      <c r="AY84" s="20" t="str">
        <f>HYPERLINK("http://www.bing.com/maps/?lvl=14&amp;sty=h&amp;cp=33.4384~43.3252&amp;sp=point.33.4384_43.3252","Maplink3")</f>
        <v>Maplink3</v>
      </c>
    </row>
    <row r="85" spans="1:51" x14ac:dyDescent="0.25">
      <c r="A85" s="9">
        <v>25441</v>
      </c>
      <c r="B85" s="10" t="s">
        <v>8</v>
      </c>
      <c r="C85" s="10" t="s">
        <v>137</v>
      </c>
      <c r="D85" s="10" t="s">
        <v>141</v>
      </c>
      <c r="E85" s="10" t="s">
        <v>142</v>
      </c>
      <c r="F85" s="10">
        <v>33.438257999999998</v>
      </c>
      <c r="G85" s="10">
        <v>43.351342000000002</v>
      </c>
      <c r="H85" s="10" t="s">
        <v>79</v>
      </c>
      <c r="I85" s="10" t="s">
        <v>139</v>
      </c>
      <c r="J85" s="10"/>
      <c r="K85" s="11">
        <v>851</v>
      </c>
      <c r="L85" s="11">
        <v>5106</v>
      </c>
      <c r="M85" s="11">
        <v>633</v>
      </c>
      <c r="N85" s="11"/>
      <c r="O85" s="11">
        <v>218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>
        <v>851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>
        <v>346</v>
      </c>
      <c r="AQ85" s="11">
        <v>505</v>
      </c>
      <c r="AR85" s="11"/>
      <c r="AS85" s="11"/>
      <c r="AT85" s="11"/>
      <c r="AU85" s="11"/>
      <c r="AV85" s="11"/>
      <c r="AW85" s="20" t="str">
        <f>HYPERLINK("http://www.openstreetmap.org/?mlat=33.4383&amp;mlon=43.3513&amp;zoom=12#map=12/33.4383/43.3513","Maplink1")</f>
        <v>Maplink1</v>
      </c>
      <c r="AX85" s="20" t="str">
        <f>HYPERLINK("https://www.google.iq/maps/search/+33.4383,43.3513/@33.4383,43.3513,14z?hl=en","Maplink2")</f>
        <v>Maplink2</v>
      </c>
      <c r="AY85" s="20" t="str">
        <f>HYPERLINK("http://www.bing.com/maps/?lvl=14&amp;sty=h&amp;cp=33.4383~43.3513&amp;sp=point.33.4383_43.3513","Maplink3")</f>
        <v>Maplink3</v>
      </c>
    </row>
    <row r="86" spans="1:51" x14ac:dyDescent="0.25">
      <c r="A86" s="9">
        <v>21403</v>
      </c>
      <c r="B86" s="10" t="s">
        <v>8</v>
      </c>
      <c r="C86" s="10" t="s">
        <v>137</v>
      </c>
      <c r="D86" s="10" t="s">
        <v>854</v>
      </c>
      <c r="E86" s="10" t="s">
        <v>855</v>
      </c>
      <c r="F86" s="10">
        <v>33.428455</v>
      </c>
      <c r="G86" s="10">
        <v>43.361165</v>
      </c>
      <c r="H86" s="10" t="s">
        <v>79</v>
      </c>
      <c r="I86" s="10" t="s">
        <v>139</v>
      </c>
      <c r="J86" s="10" t="s">
        <v>856</v>
      </c>
      <c r="K86" s="11">
        <v>1123</v>
      </c>
      <c r="L86" s="11">
        <v>6738</v>
      </c>
      <c r="M86" s="11">
        <v>534</v>
      </c>
      <c r="N86" s="11"/>
      <c r="O86" s="11">
        <v>390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>
        <v>199</v>
      </c>
      <c r="AC86" s="11"/>
      <c r="AD86" s="11"/>
      <c r="AE86" s="11"/>
      <c r="AF86" s="11">
        <v>1123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>
        <v>199</v>
      </c>
      <c r="AR86" s="11"/>
      <c r="AS86" s="11">
        <v>390</v>
      </c>
      <c r="AT86" s="11">
        <v>141</v>
      </c>
      <c r="AU86" s="11">
        <v>393</v>
      </c>
      <c r="AV86" s="11"/>
      <c r="AW86" s="20" t="str">
        <f>HYPERLINK("http://www.openstreetmap.org/?mlat=33.4285&amp;mlon=43.3612&amp;zoom=12#map=12/33.4285/43.3612","Maplink1")</f>
        <v>Maplink1</v>
      </c>
      <c r="AX86" s="20" t="str">
        <f>HYPERLINK("https://www.google.iq/maps/search/+33.4285,43.3612/@33.4285,43.3612,14z?hl=en","Maplink2")</f>
        <v>Maplink2</v>
      </c>
      <c r="AY86" s="20" t="str">
        <f>HYPERLINK("http://www.bing.com/maps/?lvl=14&amp;sty=h&amp;cp=33.4285~43.3612&amp;sp=point.33.4285_43.3612","Maplink3")</f>
        <v>Maplink3</v>
      </c>
    </row>
    <row r="87" spans="1:51" x14ac:dyDescent="0.25">
      <c r="A87" s="9">
        <v>23891</v>
      </c>
      <c r="B87" s="10" t="s">
        <v>8</v>
      </c>
      <c r="C87" s="10" t="s">
        <v>137</v>
      </c>
      <c r="D87" s="10" t="s">
        <v>872</v>
      </c>
      <c r="E87" s="10" t="s">
        <v>873</v>
      </c>
      <c r="F87" s="10">
        <v>33.374498000000003</v>
      </c>
      <c r="G87" s="10">
        <v>42.847051999999998</v>
      </c>
      <c r="H87" s="10" t="s">
        <v>79</v>
      </c>
      <c r="I87" s="10" t="s">
        <v>139</v>
      </c>
      <c r="J87" s="10" t="s">
        <v>874</v>
      </c>
      <c r="K87" s="11">
        <v>681</v>
      </c>
      <c r="L87" s="11">
        <v>4086</v>
      </c>
      <c r="M87" s="11">
        <v>230</v>
      </c>
      <c r="N87" s="11"/>
      <c r="O87" s="11"/>
      <c r="P87" s="11"/>
      <c r="Q87" s="11"/>
      <c r="R87" s="11"/>
      <c r="S87" s="11">
        <v>451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681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v>120</v>
      </c>
      <c r="AQ87" s="11">
        <v>110</v>
      </c>
      <c r="AR87" s="11"/>
      <c r="AS87" s="11"/>
      <c r="AT87" s="11">
        <v>451</v>
      </c>
      <c r="AU87" s="11"/>
      <c r="AV87" s="11"/>
      <c r="AW87" s="20" t="str">
        <f>HYPERLINK("http://www.openstreetmap.org/?mlat=33.3745&amp;mlon=42.8471&amp;zoom=12#map=12/33.3745/42.8471","Maplink1")</f>
        <v>Maplink1</v>
      </c>
      <c r="AX87" s="20" t="str">
        <f>HYPERLINK("https://www.google.iq/maps/search/+33.3745,42.8471/@33.3745,42.8471,14z?hl=en","Maplink2")</f>
        <v>Maplink2</v>
      </c>
      <c r="AY87" s="20" t="str">
        <f>HYPERLINK("http://www.bing.com/maps/?lvl=14&amp;sty=h&amp;cp=33.3745~42.8471&amp;sp=point.33.3745_42.8471","Maplink3")</f>
        <v>Maplink3</v>
      </c>
    </row>
    <row r="88" spans="1:51" x14ac:dyDescent="0.25">
      <c r="A88" s="9">
        <v>21227</v>
      </c>
      <c r="B88" s="10" t="s">
        <v>8</v>
      </c>
      <c r="C88" s="10" t="s">
        <v>137</v>
      </c>
      <c r="D88" s="10" t="s">
        <v>844</v>
      </c>
      <c r="E88" s="10" t="s">
        <v>833</v>
      </c>
      <c r="F88" s="10">
        <v>33.465560000000004</v>
      </c>
      <c r="G88" s="10">
        <v>43.279260999999998</v>
      </c>
      <c r="H88" s="10" t="s">
        <v>79</v>
      </c>
      <c r="I88" s="10" t="s">
        <v>139</v>
      </c>
      <c r="J88" s="10" t="s">
        <v>834</v>
      </c>
      <c r="K88" s="11">
        <v>510</v>
      </c>
      <c r="L88" s="11">
        <v>3060</v>
      </c>
      <c r="M88" s="11">
        <v>217</v>
      </c>
      <c r="N88" s="11"/>
      <c r="O88" s="11"/>
      <c r="P88" s="11"/>
      <c r="Q88" s="11"/>
      <c r="R88" s="11"/>
      <c r="S88" s="11">
        <v>293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>
        <v>510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v>378</v>
      </c>
      <c r="AQ88" s="11"/>
      <c r="AR88" s="11"/>
      <c r="AS88" s="11"/>
      <c r="AT88" s="11">
        <v>132</v>
      </c>
      <c r="AU88" s="11"/>
      <c r="AV88" s="11"/>
      <c r="AW88" s="20" t="str">
        <f>HYPERLINK("http://www.openstreetmap.org/?mlat=33.4656&amp;mlon=43.2793&amp;zoom=12#map=12/33.4656/43.2793","Maplink1")</f>
        <v>Maplink1</v>
      </c>
      <c r="AX88" s="20" t="str">
        <f>HYPERLINK("https://www.google.iq/maps/search/+33.4656,43.2793/@33.4656,43.2793,14z?hl=en","Maplink2")</f>
        <v>Maplink2</v>
      </c>
      <c r="AY88" s="20" t="str">
        <f>HYPERLINK("http://www.bing.com/maps/?lvl=14&amp;sty=h&amp;cp=33.4656~43.2793&amp;sp=point.33.4656_43.2793","Maplink3")</f>
        <v>Maplink3</v>
      </c>
    </row>
    <row r="89" spans="1:51" x14ac:dyDescent="0.25">
      <c r="A89" s="9">
        <v>23857</v>
      </c>
      <c r="B89" s="10" t="s">
        <v>8</v>
      </c>
      <c r="C89" s="10" t="s">
        <v>137</v>
      </c>
      <c r="D89" s="10" t="s">
        <v>145</v>
      </c>
      <c r="E89" s="10" t="s">
        <v>146</v>
      </c>
      <c r="F89" s="10">
        <v>33.392502</v>
      </c>
      <c r="G89" s="10">
        <v>43.497919000000003</v>
      </c>
      <c r="H89" s="10" t="s">
        <v>79</v>
      </c>
      <c r="I89" s="10" t="s">
        <v>139</v>
      </c>
      <c r="J89" s="10" t="s">
        <v>147</v>
      </c>
      <c r="K89" s="11">
        <v>1339</v>
      </c>
      <c r="L89" s="11">
        <v>8034</v>
      </c>
      <c r="M89" s="11">
        <v>1259</v>
      </c>
      <c r="N89" s="11"/>
      <c r="O89" s="11">
        <v>25</v>
      </c>
      <c r="P89" s="11"/>
      <c r="Q89" s="11"/>
      <c r="R89" s="11"/>
      <c r="S89" s="11"/>
      <c r="T89" s="11"/>
      <c r="U89" s="11">
        <v>50</v>
      </c>
      <c r="V89" s="11"/>
      <c r="W89" s="11"/>
      <c r="X89" s="11"/>
      <c r="Y89" s="11"/>
      <c r="Z89" s="11"/>
      <c r="AA89" s="11"/>
      <c r="AB89" s="11">
        <v>5</v>
      </c>
      <c r="AC89" s="11"/>
      <c r="AD89" s="11"/>
      <c r="AE89" s="11"/>
      <c r="AF89" s="11">
        <v>1339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>
        <v>59</v>
      </c>
      <c r="AQ89" s="11"/>
      <c r="AR89" s="11"/>
      <c r="AS89" s="11"/>
      <c r="AT89" s="11">
        <v>135</v>
      </c>
      <c r="AU89" s="11">
        <v>1145</v>
      </c>
      <c r="AV89" s="11"/>
      <c r="AW89" s="20" t="str">
        <f>HYPERLINK("http://www.openstreetmap.org/?mlat=33.3925&amp;mlon=43.4979&amp;zoom=12#map=12/33.3925/43.4979","Maplink1")</f>
        <v>Maplink1</v>
      </c>
      <c r="AX89" s="20" t="str">
        <f>HYPERLINK("https://www.google.iq/maps/search/+33.3925,43.4979/@33.3925,43.4979,14z?hl=en","Maplink2")</f>
        <v>Maplink2</v>
      </c>
      <c r="AY89" s="20" t="str">
        <f>HYPERLINK("http://www.bing.com/maps/?lvl=14&amp;sty=h&amp;cp=33.3925~43.4979&amp;sp=point.33.3925_43.4979","Maplink3")</f>
        <v>Maplink3</v>
      </c>
    </row>
    <row r="90" spans="1:51" x14ac:dyDescent="0.25">
      <c r="A90" s="9">
        <v>185</v>
      </c>
      <c r="B90" s="10" t="s">
        <v>8</v>
      </c>
      <c r="C90" s="10" t="s">
        <v>137</v>
      </c>
      <c r="D90" s="10" t="s">
        <v>148</v>
      </c>
      <c r="E90" s="10" t="s">
        <v>149</v>
      </c>
      <c r="F90" s="10">
        <v>33.430365999999999</v>
      </c>
      <c r="G90" s="10">
        <v>43.312452</v>
      </c>
      <c r="H90" s="10" t="s">
        <v>79</v>
      </c>
      <c r="I90" s="10" t="s">
        <v>139</v>
      </c>
      <c r="J90" s="10" t="s">
        <v>150</v>
      </c>
      <c r="K90" s="11">
        <v>1050</v>
      </c>
      <c r="L90" s="11">
        <v>6300</v>
      </c>
      <c r="M90" s="11">
        <v>760</v>
      </c>
      <c r="N90" s="11"/>
      <c r="O90" s="11"/>
      <c r="P90" s="11"/>
      <c r="Q90" s="11"/>
      <c r="R90" s="11"/>
      <c r="S90" s="11">
        <v>290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1050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>
        <v>995</v>
      </c>
      <c r="AQ90" s="11"/>
      <c r="AR90" s="11"/>
      <c r="AS90" s="11">
        <v>55</v>
      </c>
      <c r="AT90" s="11"/>
      <c r="AU90" s="11"/>
      <c r="AV90" s="11"/>
      <c r="AW90" s="20" t="str">
        <f>HYPERLINK("http://www.openstreetmap.org/?mlat=33.4304&amp;mlon=43.3125&amp;zoom=12#map=12/33.4304/43.3125","Maplink1")</f>
        <v>Maplink1</v>
      </c>
      <c r="AX90" s="20" t="str">
        <f>HYPERLINK("https://www.google.iq/maps/search/+33.4304,43.3125/@33.4304,43.3125,14z?hl=en","Maplink2")</f>
        <v>Maplink2</v>
      </c>
      <c r="AY90" s="20" t="str">
        <f>HYPERLINK("http://www.bing.com/maps/?lvl=14&amp;sty=h&amp;cp=33.4304~43.3125&amp;sp=point.33.4304_43.3125","Maplink3")</f>
        <v>Maplink3</v>
      </c>
    </row>
    <row r="91" spans="1:51" x14ac:dyDescent="0.25">
      <c r="A91" s="9">
        <v>206</v>
      </c>
      <c r="B91" s="10" t="s">
        <v>8</v>
      </c>
      <c r="C91" s="10" t="s">
        <v>137</v>
      </c>
      <c r="D91" s="10" t="s">
        <v>959</v>
      </c>
      <c r="E91" s="10" t="s">
        <v>295</v>
      </c>
      <c r="F91" s="10">
        <v>33.386231000000002</v>
      </c>
      <c r="G91" s="10">
        <v>43.524839</v>
      </c>
      <c r="H91" s="10" t="s">
        <v>79</v>
      </c>
      <c r="I91" s="10" t="s">
        <v>139</v>
      </c>
      <c r="J91" s="10" t="s">
        <v>152</v>
      </c>
      <c r="K91" s="11">
        <v>249</v>
      </c>
      <c r="L91" s="11">
        <v>1494</v>
      </c>
      <c r="M91" s="11">
        <v>190</v>
      </c>
      <c r="N91" s="11"/>
      <c r="O91" s="11">
        <v>59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>
        <v>249</v>
      </c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v>121</v>
      </c>
      <c r="AQ91" s="11"/>
      <c r="AR91" s="11"/>
      <c r="AS91" s="11"/>
      <c r="AT91" s="11">
        <v>128</v>
      </c>
      <c r="AU91" s="11"/>
      <c r="AV91" s="11"/>
      <c r="AW91" s="20" t="str">
        <f>HYPERLINK("http://www.openstreetmap.org/?mlat=33.3862&amp;mlon=43.5248&amp;zoom=12#map=12/33.3862/43.5248","Maplink1")</f>
        <v>Maplink1</v>
      </c>
      <c r="AX91" s="20" t="str">
        <f>HYPERLINK("https://www.google.iq/maps/search/+33.3862,43.5248/@33.3862,43.5248,14z?hl=en","Maplink2")</f>
        <v>Maplink2</v>
      </c>
      <c r="AY91" s="20" t="str">
        <f>HYPERLINK("http://www.bing.com/maps/?lvl=14&amp;sty=h&amp;cp=33.3862~43.5248&amp;sp=point.33.3862_43.5248","Maplink3")</f>
        <v>Maplink3</v>
      </c>
    </row>
    <row r="92" spans="1:51" x14ac:dyDescent="0.25">
      <c r="A92" s="9">
        <v>297</v>
      </c>
      <c r="B92" s="10" t="s">
        <v>8</v>
      </c>
      <c r="C92" s="10" t="s">
        <v>137</v>
      </c>
      <c r="D92" s="10" t="s">
        <v>875</v>
      </c>
      <c r="E92" s="10" t="s">
        <v>876</v>
      </c>
      <c r="F92" s="10">
        <v>33.434693000000003</v>
      </c>
      <c r="G92" s="10">
        <v>43.297004000000001</v>
      </c>
      <c r="H92" s="10" t="s">
        <v>79</v>
      </c>
      <c r="I92" s="10" t="s">
        <v>139</v>
      </c>
      <c r="J92" s="10" t="s">
        <v>877</v>
      </c>
      <c r="K92" s="11">
        <v>879</v>
      </c>
      <c r="L92" s="11">
        <v>5274</v>
      </c>
      <c r="M92" s="11">
        <v>879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v>733</v>
      </c>
      <c r="AG92" s="11"/>
      <c r="AH92" s="11"/>
      <c r="AI92" s="11"/>
      <c r="AJ92" s="11"/>
      <c r="AK92" s="11"/>
      <c r="AL92" s="11">
        <v>146</v>
      </c>
      <c r="AM92" s="11"/>
      <c r="AN92" s="11"/>
      <c r="AO92" s="11"/>
      <c r="AP92" s="11">
        <v>373</v>
      </c>
      <c r="AQ92" s="11"/>
      <c r="AR92" s="11"/>
      <c r="AS92" s="11"/>
      <c r="AT92" s="11">
        <v>506</v>
      </c>
      <c r="AU92" s="11"/>
      <c r="AV92" s="11"/>
      <c r="AW92" s="20" t="str">
        <f>HYPERLINK("http://www.openstreetmap.org/?mlat=33.4347&amp;mlon=43.297&amp;zoom=12#map=12/33.4347/43.297","Maplink1")</f>
        <v>Maplink1</v>
      </c>
      <c r="AX92" s="20" t="str">
        <f>HYPERLINK("https://www.google.iq/maps/search/+33.4347,43.297/@33.4347,43.297,14z?hl=en","Maplink2")</f>
        <v>Maplink2</v>
      </c>
      <c r="AY92" s="20" t="str">
        <f>HYPERLINK("http://www.bing.com/maps/?lvl=14&amp;sty=h&amp;cp=33.4347~43.297&amp;sp=point.33.4347_43.297","Maplink3")</f>
        <v>Maplink3</v>
      </c>
    </row>
    <row r="93" spans="1:51" x14ac:dyDescent="0.25">
      <c r="A93" s="9">
        <v>29486</v>
      </c>
      <c r="B93" s="10" t="s">
        <v>8</v>
      </c>
      <c r="C93" s="10" t="s">
        <v>137</v>
      </c>
      <c r="D93" s="10" t="s">
        <v>940</v>
      </c>
      <c r="E93" s="10" t="s">
        <v>153</v>
      </c>
      <c r="F93" s="10">
        <v>33.435153</v>
      </c>
      <c r="G93" s="10">
        <v>43.319515000000003</v>
      </c>
      <c r="H93" s="10" t="s">
        <v>79</v>
      </c>
      <c r="I93" s="10" t="s">
        <v>139</v>
      </c>
      <c r="J93" s="10"/>
      <c r="K93" s="11">
        <v>598</v>
      </c>
      <c r="L93" s="11">
        <v>3588</v>
      </c>
      <c r="M93" s="11">
        <v>450</v>
      </c>
      <c r="N93" s="11">
        <v>148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>
        <v>598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v>89</v>
      </c>
      <c r="AQ93" s="11">
        <v>361</v>
      </c>
      <c r="AR93" s="11"/>
      <c r="AS93" s="11"/>
      <c r="AT93" s="11">
        <v>148</v>
      </c>
      <c r="AU93" s="11"/>
      <c r="AV93" s="11"/>
      <c r="AW93" s="20" t="str">
        <f>HYPERLINK("http://www.openstreetmap.org/?mlat=33.4352&amp;mlon=43.3195&amp;zoom=12#map=12/33.4352/43.3195","Maplink1")</f>
        <v>Maplink1</v>
      </c>
      <c r="AX93" s="20" t="str">
        <f>HYPERLINK("https://www.google.iq/maps/search/+33.4352,43.3195/@33.4352,43.3195,14z?hl=en","Maplink2")</f>
        <v>Maplink2</v>
      </c>
      <c r="AY93" s="20" t="str">
        <f>HYPERLINK("http://www.bing.com/maps/?lvl=14&amp;sty=h&amp;cp=33.4352~43.3195&amp;sp=point.33.4352_43.3195","Maplink3")</f>
        <v>Maplink3</v>
      </c>
    </row>
    <row r="94" spans="1:51" x14ac:dyDescent="0.25">
      <c r="A94" s="9">
        <v>204</v>
      </c>
      <c r="B94" s="10" t="s">
        <v>8</v>
      </c>
      <c r="C94" s="10" t="s">
        <v>137</v>
      </c>
      <c r="D94" s="10" t="s">
        <v>857</v>
      </c>
      <c r="E94" s="10" t="s">
        <v>858</v>
      </c>
      <c r="F94" s="10">
        <v>33.412877000000002</v>
      </c>
      <c r="G94" s="10">
        <v>43.274667999999998</v>
      </c>
      <c r="H94" s="10" t="s">
        <v>79</v>
      </c>
      <c r="I94" s="10" t="s">
        <v>139</v>
      </c>
      <c r="J94" s="10" t="s">
        <v>859</v>
      </c>
      <c r="K94" s="11">
        <v>839</v>
      </c>
      <c r="L94" s="11">
        <v>5034</v>
      </c>
      <c r="M94" s="11">
        <v>63</v>
      </c>
      <c r="N94" s="11"/>
      <c r="O94" s="11">
        <v>392</v>
      </c>
      <c r="P94" s="11"/>
      <c r="Q94" s="11"/>
      <c r="R94" s="11"/>
      <c r="S94" s="11">
        <v>150</v>
      </c>
      <c r="T94" s="11"/>
      <c r="U94" s="11">
        <v>234</v>
      </c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v>839</v>
      </c>
      <c r="AG94" s="11"/>
      <c r="AH94" s="11"/>
      <c r="AI94" s="11"/>
      <c r="AJ94" s="11"/>
      <c r="AK94" s="11"/>
      <c r="AL94" s="11"/>
      <c r="AM94" s="11"/>
      <c r="AN94" s="11"/>
      <c r="AO94" s="11"/>
      <c r="AP94" s="11">
        <v>234</v>
      </c>
      <c r="AQ94" s="11">
        <v>213</v>
      </c>
      <c r="AR94" s="11"/>
      <c r="AS94" s="11">
        <v>392</v>
      </c>
      <c r="AT94" s="11"/>
      <c r="AU94" s="11"/>
      <c r="AV94" s="11"/>
      <c r="AW94" s="20" t="str">
        <f>HYPERLINK("http://www.openstreetmap.org/?mlat=33.4129&amp;mlon=43.2747&amp;zoom=12#map=12/33.4129/43.2747","Maplink1")</f>
        <v>Maplink1</v>
      </c>
      <c r="AX94" s="20" t="str">
        <f>HYPERLINK("https://www.google.iq/maps/search/+33.4129,43.2747/@33.4129,43.2747,14z?hl=en","Maplink2")</f>
        <v>Maplink2</v>
      </c>
      <c r="AY94" s="20" t="str">
        <f>HYPERLINK("http://www.bing.com/maps/?lvl=14&amp;sty=h&amp;cp=33.4129~43.2747&amp;sp=point.33.4129_43.2747","Maplink3")</f>
        <v>Maplink3</v>
      </c>
    </row>
    <row r="95" spans="1:51" x14ac:dyDescent="0.25">
      <c r="A95" s="9">
        <v>29561</v>
      </c>
      <c r="B95" s="10" t="s">
        <v>8</v>
      </c>
      <c r="C95" s="10" t="s">
        <v>137</v>
      </c>
      <c r="D95" s="10" t="s">
        <v>1408</v>
      </c>
      <c r="E95" s="10" t="s">
        <v>138</v>
      </c>
      <c r="F95" s="10">
        <v>33.252234999999999</v>
      </c>
      <c r="G95" s="10">
        <v>43.154100999999997</v>
      </c>
      <c r="H95" s="10" t="s">
        <v>79</v>
      </c>
      <c r="I95" s="10" t="s">
        <v>139</v>
      </c>
      <c r="J95" s="10"/>
      <c r="K95" s="11">
        <v>595</v>
      </c>
      <c r="L95" s="11">
        <v>3570</v>
      </c>
      <c r="M95" s="11">
        <v>514</v>
      </c>
      <c r="N95" s="11"/>
      <c r="O95" s="11"/>
      <c r="P95" s="11"/>
      <c r="Q95" s="11"/>
      <c r="R95" s="11"/>
      <c r="S95" s="11">
        <v>81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595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>
        <v>72</v>
      </c>
      <c r="AQ95" s="11"/>
      <c r="AR95" s="11"/>
      <c r="AS95" s="11"/>
      <c r="AT95" s="11">
        <v>523</v>
      </c>
      <c r="AU95" s="11"/>
      <c r="AV95" s="11"/>
      <c r="AW95" s="20" t="str">
        <f>HYPERLINK("http://www.openstreetmap.org/?mlat=33.2522&amp;mlon=43.1541&amp;zoom=12#map=12/33.2522/43.1541","Maplink1")</f>
        <v>Maplink1</v>
      </c>
      <c r="AX95" s="20" t="str">
        <f>HYPERLINK("https://www.google.iq/maps/search/+33.2522,43.1541/@33.2522,43.1541,14z?hl=en","Maplink2")</f>
        <v>Maplink2</v>
      </c>
      <c r="AY95" s="20" t="str">
        <f>HYPERLINK("http://www.bing.com/maps/?lvl=14&amp;sty=h&amp;cp=33.2522~43.1541&amp;sp=point.33.2522_43.1541","Maplink3")</f>
        <v>Maplink3</v>
      </c>
    </row>
    <row r="96" spans="1:51" x14ac:dyDescent="0.25">
      <c r="A96" s="9">
        <v>21997</v>
      </c>
      <c r="B96" s="10" t="s">
        <v>8</v>
      </c>
      <c r="C96" s="10" t="s">
        <v>137</v>
      </c>
      <c r="D96" s="10" t="s">
        <v>824</v>
      </c>
      <c r="E96" s="10" t="s">
        <v>825</v>
      </c>
      <c r="F96" s="10">
        <v>33.422955000000002</v>
      </c>
      <c r="G96" s="10">
        <v>43.271284000000001</v>
      </c>
      <c r="H96" s="10" t="s">
        <v>79</v>
      </c>
      <c r="I96" s="10" t="s">
        <v>139</v>
      </c>
      <c r="J96" s="10" t="s">
        <v>826</v>
      </c>
      <c r="K96" s="11">
        <v>358</v>
      </c>
      <c r="L96" s="11">
        <v>2148</v>
      </c>
      <c r="M96" s="11">
        <v>179</v>
      </c>
      <c r="N96" s="11"/>
      <c r="O96" s="11"/>
      <c r="P96" s="11"/>
      <c r="Q96" s="11"/>
      <c r="R96" s="11"/>
      <c r="S96" s="11"/>
      <c r="T96" s="11"/>
      <c r="U96" s="11">
        <v>179</v>
      </c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358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v>87</v>
      </c>
      <c r="AQ96" s="11">
        <v>92</v>
      </c>
      <c r="AR96" s="11"/>
      <c r="AS96" s="11">
        <v>179</v>
      </c>
      <c r="AT96" s="11"/>
      <c r="AU96" s="11"/>
      <c r="AV96" s="11"/>
      <c r="AW96" s="20" t="str">
        <f>HYPERLINK("http://www.openstreetmap.org/?mlat=33.423&amp;mlon=43.2713&amp;zoom=12#map=12/33.423/43.2713","Maplink1")</f>
        <v>Maplink1</v>
      </c>
      <c r="AX96" s="20" t="str">
        <f>HYPERLINK("https://www.google.iq/maps/search/+33.423,43.2713/@33.423,43.2713,14z?hl=en","Maplink2")</f>
        <v>Maplink2</v>
      </c>
      <c r="AY96" s="20" t="str">
        <f>HYPERLINK("http://www.bing.com/maps/?lvl=14&amp;sty=h&amp;cp=33.423~43.2713&amp;sp=point.33.423_43.2713","Maplink3")</f>
        <v>Maplink3</v>
      </c>
    </row>
    <row r="97" spans="1:51" x14ac:dyDescent="0.25">
      <c r="A97" s="9">
        <v>210</v>
      </c>
      <c r="B97" s="10" t="s">
        <v>8</v>
      </c>
      <c r="C97" s="10" t="s">
        <v>137</v>
      </c>
      <c r="D97" s="10" t="s">
        <v>860</v>
      </c>
      <c r="E97" s="10" t="s">
        <v>861</v>
      </c>
      <c r="F97" s="10">
        <v>33.417959000000003</v>
      </c>
      <c r="G97" s="10">
        <v>43.278758000000003</v>
      </c>
      <c r="H97" s="10" t="s">
        <v>79</v>
      </c>
      <c r="I97" s="10" t="s">
        <v>139</v>
      </c>
      <c r="J97" s="10" t="s">
        <v>862</v>
      </c>
      <c r="K97" s="11">
        <v>637</v>
      </c>
      <c r="L97" s="11">
        <v>3822</v>
      </c>
      <c r="M97" s="11">
        <v>401</v>
      </c>
      <c r="N97" s="11"/>
      <c r="O97" s="11"/>
      <c r="P97" s="11"/>
      <c r="Q97" s="11"/>
      <c r="R97" s="11"/>
      <c r="S97" s="11">
        <v>236</v>
      </c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v>637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>
        <v>125</v>
      </c>
      <c r="AR97" s="11"/>
      <c r="AS97" s="11">
        <v>368</v>
      </c>
      <c r="AT97" s="11">
        <v>144</v>
      </c>
      <c r="AU97" s="11"/>
      <c r="AV97" s="11"/>
      <c r="AW97" s="20" t="str">
        <f>HYPERLINK("http://www.openstreetmap.org/?mlat=33.418&amp;mlon=43.2788&amp;zoom=12#map=12/33.418/43.2788","Maplink1")</f>
        <v>Maplink1</v>
      </c>
      <c r="AX97" s="20" t="str">
        <f>HYPERLINK("https://www.google.iq/maps/search/+33.418,43.2788/@33.418,43.2788,14z?hl=en","Maplink2")</f>
        <v>Maplink2</v>
      </c>
      <c r="AY97" s="20" t="str">
        <f>HYPERLINK("http://www.bing.com/maps/?lvl=14&amp;sty=h&amp;cp=33.418~43.2788&amp;sp=point.33.418_43.2788","Maplink3")</f>
        <v>Maplink3</v>
      </c>
    </row>
    <row r="98" spans="1:51" x14ac:dyDescent="0.25">
      <c r="A98" s="9">
        <v>23602</v>
      </c>
      <c r="B98" s="10" t="s">
        <v>8</v>
      </c>
      <c r="C98" s="10" t="s">
        <v>137</v>
      </c>
      <c r="D98" s="10" t="s">
        <v>878</v>
      </c>
      <c r="E98" s="10" t="s">
        <v>879</v>
      </c>
      <c r="F98" s="10">
        <v>33.418756999999999</v>
      </c>
      <c r="G98" s="10">
        <v>43.308495999999998</v>
      </c>
      <c r="H98" s="10" t="s">
        <v>79</v>
      </c>
      <c r="I98" s="10" t="s">
        <v>139</v>
      </c>
      <c r="J98" s="10" t="s">
        <v>880</v>
      </c>
      <c r="K98" s="11">
        <v>943</v>
      </c>
      <c r="L98" s="11">
        <v>5658</v>
      </c>
      <c r="M98" s="11">
        <v>943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884</v>
      </c>
      <c r="AG98" s="11"/>
      <c r="AH98" s="11"/>
      <c r="AI98" s="11"/>
      <c r="AJ98" s="11"/>
      <c r="AK98" s="11"/>
      <c r="AL98" s="11">
        <v>59</v>
      </c>
      <c r="AM98" s="11"/>
      <c r="AN98" s="11"/>
      <c r="AO98" s="11"/>
      <c r="AP98" s="11">
        <v>132</v>
      </c>
      <c r="AQ98" s="11"/>
      <c r="AR98" s="11"/>
      <c r="AS98" s="11"/>
      <c r="AT98" s="11">
        <v>811</v>
      </c>
      <c r="AU98" s="11"/>
      <c r="AV98" s="11"/>
      <c r="AW98" s="20" t="str">
        <f>HYPERLINK("http://www.openstreetmap.org/?mlat=33.4188&amp;mlon=43.3085&amp;zoom=12#map=12/33.4188/43.3085","Maplink1")</f>
        <v>Maplink1</v>
      </c>
      <c r="AX98" s="20" t="str">
        <f>HYPERLINK("https://www.google.iq/maps/search/+33.4188,43.3085/@33.4188,43.3085,14z?hl=en","Maplink2")</f>
        <v>Maplink2</v>
      </c>
      <c r="AY98" s="20" t="str">
        <f>HYPERLINK("http://www.bing.com/maps/?lvl=14&amp;sty=h&amp;cp=33.4188~43.3085&amp;sp=point.33.4188_43.3085","Maplink3")</f>
        <v>Maplink3</v>
      </c>
    </row>
    <row r="99" spans="1:51" x14ac:dyDescent="0.25">
      <c r="A99" s="9">
        <v>23023</v>
      </c>
      <c r="B99" s="10" t="s">
        <v>8</v>
      </c>
      <c r="C99" s="10" t="s">
        <v>137</v>
      </c>
      <c r="D99" s="10" t="s">
        <v>960</v>
      </c>
      <c r="E99" s="10" t="s">
        <v>881</v>
      </c>
      <c r="F99" s="10">
        <v>33.424380999999997</v>
      </c>
      <c r="G99" s="10">
        <v>43.322237000000001</v>
      </c>
      <c r="H99" s="10" t="s">
        <v>79</v>
      </c>
      <c r="I99" s="10" t="s">
        <v>139</v>
      </c>
      <c r="J99" s="10" t="s">
        <v>882</v>
      </c>
      <c r="K99" s="11">
        <v>687</v>
      </c>
      <c r="L99" s="11">
        <v>4122</v>
      </c>
      <c r="M99" s="11">
        <v>366</v>
      </c>
      <c r="N99" s="11"/>
      <c r="O99" s="11"/>
      <c r="P99" s="11"/>
      <c r="Q99" s="11"/>
      <c r="R99" s="11"/>
      <c r="S99" s="11">
        <v>321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687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>
        <v>366</v>
      </c>
      <c r="AQ99" s="11"/>
      <c r="AR99" s="11"/>
      <c r="AS99" s="11"/>
      <c r="AT99" s="11">
        <v>321</v>
      </c>
      <c r="AU99" s="11"/>
      <c r="AV99" s="11"/>
      <c r="AW99" s="20" t="str">
        <f>HYPERLINK("http://www.openstreetmap.org/?mlat=33.4244&amp;mlon=43.3222&amp;zoom=12#map=12/33.4244/43.3222","Maplink1")</f>
        <v>Maplink1</v>
      </c>
      <c r="AX99" s="20" t="str">
        <f>HYPERLINK("https://www.google.iq/maps/search/+33.4244,43.3222/@33.4244,43.3222,14z?hl=en","Maplink2")</f>
        <v>Maplink2</v>
      </c>
      <c r="AY99" s="20" t="str">
        <f>HYPERLINK("http://www.bing.com/maps/?lvl=14&amp;sty=h&amp;cp=33.4244~43.3222&amp;sp=point.33.4244_43.3222","Maplink3")</f>
        <v>Maplink3</v>
      </c>
    </row>
    <row r="100" spans="1:51" x14ac:dyDescent="0.25">
      <c r="A100" s="9">
        <v>23853</v>
      </c>
      <c r="B100" s="10" t="s">
        <v>8</v>
      </c>
      <c r="C100" s="10" t="s">
        <v>137</v>
      </c>
      <c r="D100" s="10" t="s">
        <v>154</v>
      </c>
      <c r="E100" s="10" t="s">
        <v>155</v>
      </c>
      <c r="F100" s="10">
        <v>33.377589</v>
      </c>
      <c r="G100" s="10">
        <v>43.570919000000004</v>
      </c>
      <c r="H100" s="10" t="s">
        <v>79</v>
      </c>
      <c r="I100" s="10" t="s">
        <v>139</v>
      </c>
      <c r="J100" s="10" t="s">
        <v>156</v>
      </c>
      <c r="K100" s="11">
        <v>250</v>
      </c>
      <c r="L100" s="11">
        <v>1500</v>
      </c>
      <c r="M100" s="11">
        <v>124</v>
      </c>
      <c r="N100" s="11"/>
      <c r="O100" s="11">
        <v>86</v>
      </c>
      <c r="P100" s="11"/>
      <c r="Q100" s="11"/>
      <c r="R100" s="11"/>
      <c r="S100" s="11"/>
      <c r="T100" s="11"/>
      <c r="U100" s="11">
        <v>40</v>
      </c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v>250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>
        <v>61</v>
      </c>
      <c r="AQ100" s="11">
        <v>40</v>
      </c>
      <c r="AR100" s="11"/>
      <c r="AS100" s="11"/>
      <c r="AT100" s="11">
        <v>149</v>
      </c>
      <c r="AU100" s="11"/>
      <c r="AV100" s="11"/>
      <c r="AW100" s="20" t="str">
        <f>HYPERLINK("http://www.openstreetmap.org/?mlat=33.3776&amp;mlon=43.5709&amp;zoom=12#map=12/33.3776/43.5709","Maplink1")</f>
        <v>Maplink1</v>
      </c>
      <c r="AX100" s="20" t="str">
        <f>HYPERLINK("https://www.google.iq/maps/search/+33.3776,43.5709/@33.3776,43.5709,14z?hl=en","Maplink2")</f>
        <v>Maplink2</v>
      </c>
      <c r="AY100" s="20" t="str">
        <f>HYPERLINK("http://www.bing.com/maps/?lvl=14&amp;sty=h&amp;cp=33.3776~43.5709&amp;sp=point.33.3776_43.5709","Maplink3")</f>
        <v>Maplink3</v>
      </c>
    </row>
    <row r="101" spans="1:51" x14ac:dyDescent="0.25">
      <c r="A101" s="9">
        <v>113</v>
      </c>
      <c r="B101" s="10" t="s">
        <v>8</v>
      </c>
      <c r="C101" s="10" t="s">
        <v>137</v>
      </c>
      <c r="D101" s="10" t="s">
        <v>752</v>
      </c>
      <c r="E101" s="10" t="s">
        <v>157</v>
      </c>
      <c r="F101" s="10">
        <v>33.409582</v>
      </c>
      <c r="G101" s="10">
        <v>43.445441000000002</v>
      </c>
      <c r="H101" s="10" t="s">
        <v>79</v>
      </c>
      <c r="I101" s="10" t="s">
        <v>139</v>
      </c>
      <c r="J101" s="10" t="s">
        <v>158</v>
      </c>
      <c r="K101" s="11">
        <v>865</v>
      </c>
      <c r="L101" s="11">
        <v>5190</v>
      </c>
      <c r="M101" s="11">
        <v>829</v>
      </c>
      <c r="N101" s="11"/>
      <c r="O101" s="11"/>
      <c r="P101" s="11"/>
      <c r="Q101" s="11"/>
      <c r="R101" s="11"/>
      <c r="S101" s="11">
        <v>36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865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v>62</v>
      </c>
      <c r="AQ101" s="11"/>
      <c r="AR101" s="11"/>
      <c r="AS101" s="11"/>
      <c r="AT101" s="11">
        <v>645</v>
      </c>
      <c r="AU101" s="11">
        <v>158</v>
      </c>
      <c r="AV101" s="11"/>
      <c r="AW101" s="20" t="str">
        <f>HYPERLINK("http://www.openstreetmap.org/?mlat=33.4096&amp;mlon=43.4454&amp;zoom=12#map=12/33.4096/43.4454","Maplink1")</f>
        <v>Maplink1</v>
      </c>
      <c r="AX101" s="20" t="str">
        <f>HYPERLINK("https://www.google.iq/maps/search/+33.4096,43.4454/@33.4096,43.4454,14z?hl=en","Maplink2")</f>
        <v>Maplink2</v>
      </c>
      <c r="AY101" s="20" t="str">
        <f>HYPERLINK("http://www.bing.com/maps/?lvl=14&amp;sty=h&amp;cp=33.4096~43.4454&amp;sp=point.33.4096_43.4454","Maplink3")</f>
        <v>Maplink3</v>
      </c>
    </row>
    <row r="102" spans="1:51" x14ac:dyDescent="0.25">
      <c r="A102" s="9">
        <v>29485</v>
      </c>
      <c r="B102" s="10" t="s">
        <v>8</v>
      </c>
      <c r="C102" s="10" t="s">
        <v>137</v>
      </c>
      <c r="D102" s="10" t="s">
        <v>1321</v>
      </c>
      <c r="E102" s="10" t="s">
        <v>159</v>
      </c>
      <c r="F102" s="10">
        <v>33.448698999999998</v>
      </c>
      <c r="G102" s="10">
        <v>43.403855999999998</v>
      </c>
      <c r="H102" s="10" t="s">
        <v>79</v>
      </c>
      <c r="I102" s="10" t="s">
        <v>139</v>
      </c>
      <c r="J102" s="10"/>
      <c r="K102" s="11">
        <v>1497</v>
      </c>
      <c r="L102" s="11">
        <v>8982</v>
      </c>
      <c r="M102" s="11">
        <v>1497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>
        <v>1497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v>252</v>
      </c>
      <c r="AQ102" s="11"/>
      <c r="AR102" s="11"/>
      <c r="AS102" s="11">
        <v>1245</v>
      </c>
      <c r="AT102" s="11"/>
      <c r="AU102" s="11"/>
      <c r="AV102" s="11"/>
      <c r="AW102" s="20" t="str">
        <f>HYPERLINK("http://www.openstreetmap.org/?mlat=33.4487&amp;mlon=43.4039&amp;zoom=12#map=12/33.4487/43.4039","Maplink1")</f>
        <v>Maplink1</v>
      </c>
      <c r="AX102" s="20" t="str">
        <f>HYPERLINK("https://www.google.iq/maps/search/+33.4487,43.4039/@33.4487,43.4039,14z?hl=en","Maplink2")</f>
        <v>Maplink2</v>
      </c>
      <c r="AY102" s="20" t="str">
        <f>HYPERLINK("http://www.bing.com/maps/?lvl=14&amp;sty=h&amp;cp=33.4487~43.4039&amp;sp=point.33.4487_43.4039","Maplink3")</f>
        <v>Maplink3</v>
      </c>
    </row>
    <row r="103" spans="1:51" x14ac:dyDescent="0.25">
      <c r="A103" s="9">
        <v>308</v>
      </c>
      <c r="B103" s="10" t="s">
        <v>8</v>
      </c>
      <c r="C103" s="10" t="s">
        <v>137</v>
      </c>
      <c r="D103" s="10" t="s">
        <v>1021</v>
      </c>
      <c r="E103" s="10" t="s">
        <v>827</v>
      </c>
      <c r="F103" s="10">
        <v>33.419823999999998</v>
      </c>
      <c r="G103" s="10">
        <v>43.234814999999998</v>
      </c>
      <c r="H103" s="10" t="s">
        <v>79</v>
      </c>
      <c r="I103" s="10" t="s">
        <v>139</v>
      </c>
      <c r="J103" s="10" t="s">
        <v>828</v>
      </c>
      <c r="K103" s="11">
        <v>538</v>
      </c>
      <c r="L103" s="11">
        <v>3228</v>
      </c>
      <c r="M103" s="11">
        <v>361</v>
      </c>
      <c r="N103" s="11">
        <v>98</v>
      </c>
      <c r="O103" s="11"/>
      <c r="P103" s="11"/>
      <c r="Q103" s="11"/>
      <c r="R103" s="11"/>
      <c r="S103" s="11">
        <v>79</v>
      </c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v>538</v>
      </c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v>107</v>
      </c>
      <c r="AQ103" s="11"/>
      <c r="AR103" s="11"/>
      <c r="AS103" s="11">
        <v>262</v>
      </c>
      <c r="AT103" s="11">
        <v>169</v>
      </c>
      <c r="AU103" s="11"/>
      <c r="AV103" s="11"/>
      <c r="AW103" s="20" t="str">
        <f>HYPERLINK("http://www.openstreetmap.org/?mlat=33.4198&amp;mlon=43.2348&amp;zoom=12#map=12/33.4198/43.2348","Maplink1")</f>
        <v>Maplink1</v>
      </c>
      <c r="AX103" s="20" t="str">
        <f>HYPERLINK("https://www.google.iq/maps/search/+33.4198,43.2348/@33.4198,43.2348,14z?hl=en","Maplink2")</f>
        <v>Maplink2</v>
      </c>
      <c r="AY103" s="20" t="str">
        <f>HYPERLINK("http://www.bing.com/maps/?lvl=14&amp;sty=h&amp;cp=33.4198~43.2348&amp;sp=point.33.4198_43.2348","Maplink3")</f>
        <v>Maplink3</v>
      </c>
    </row>
    <row r="104" spans="1:51" x14ac:dyDescent="0.25">
      <c r="A104" s="9">
        <v>182</v>
      </c>
      <c r="B104" s="10" t="s">
        <v>8</v>
      </c>
      <c r="C104" s="10" t="s">
        <v>137</v>
      </c>
      <c r="D104" s="10" t="s">
        <v>1249</v>
      </c>
      <c r="E104" s="10" t="s">
        <v>835</v>
      </c>
      <c r="F104" s="10">
        <v>33.410055999999997</v>
      </c>
      <c r="G104" s="10">
        <v>43.284066000000003</v>
      </c>
      <c r="H104" s="10" t="s">
        <v>79</v>
      </c>
      <c r="I104" s="10" t="s">
        <v>139</v>
      </c>
      <c r="J104" s="10" t="s">
        <v>836</v>
      </c>
      <c r="K104" s="11">
        <v>477</v>
      </c>
      <c r="L104" s="11">
        <v>2862</v>
      </c>
      <c r="M104" s="11">
        <v>310</v>
      </c>
      <c r="N104" s="11"/>
      <c r="O104" s="11">
        <v>167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v>477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>
        <v>368</v>
      </c>
      <c r="AQ104" s="11"/>
      <c r="AR104" s="11"/>
      <c r="AS104" s="11"/>
      <c r="AT104" s="11">
        <v>109</v>
      </c>
      <c r="AU104" s="11"/>
      <c r="AV104" s="11"/>
      <c r="AW104" s="20" t="str">
        <f>HYPERLINK("http://www.openstreetmap.org/?mlat=33.4101&amp;mlon=43.2841&amp;zoom=12#map=12/33.4101/43.2841","Maplink1")</f>
        <v>Maplink1</v>
      </c>
      <c r="AX104" s="20" t="str">
        <f>HYPERLINK("https://www.google.iq/maps/search/+33.4101,43.2841/@33.4101,43.2841,14z?hl=en","Maplink2")</f>
        <v>Maplink2</v>
      </c>
      <c r="AY104" s="20" t="str">
        <f>HYPERLINK("http://www.bing.com/maps/?lvl=14&amp;sty=h&amp;cp=33.4101~43.2841&amp;sp=point.33.4101_43.2841","Maplink3")</f>
        <v>Maplink3</v>
      </c>
    </row>
    <row r="105" spans="1:51" x14ac:dyDescent="0.25">
      <c r="A105" s="9">
        <v>29476</v>
      </c>
      <c r="B105" s="10" t="s">
        <v>8</v>
      </c>
      <c r="C105" s="10" t="s">
        <v>137</v>
      </c>
      <c r="D105" s="10" t="s">
        <v>160</v>
      </c>
      <c r="E105" s="10" t="s">
        <v>161</v>
      </c>
      <c r="F105" s="10">
        <v>33.480502000000001</v>
      </c>
      <c r="G105" s="10">
        <v>43.165412000000003</v>
      </c>
      <c r="H105" s="10" t="s">
        <v>79</v>
      </c>
      <c r="I105" s="10" t="s">
        <v>139</v>
      </c>
      <c r="J105" s="10"/>
      <c r="K105" s="11">
        <v>3439</v>
      </c>
      <c r="L105" s="11">
        <v>20634</v>
      </c>
      <c r="M105" s="11">
        <v>3439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>
        <v>3439</v>
      </c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>
        <v>153</v>
      </c>
      <c r="AT105" s="11">
        <v>172</v>
      </c>
      <c r="AU105" s="11">
        <v>3114</v>
      </c>
      <c r="AV105" s="11"/>
      <c r="AW105" s="20" t="str">
        <f>HYPERLINK("http://www.openstreetmap.org/?mlat=33.4805&amp;mlon=43.1654&amp;zoom=12#map=12/33.4805/43.1654","Maplink1")</f>
        <v>Maplink1</v>
      </c>
      <c r="AX105" s="20" t="str">
        <f>HYPERLINK("https://www.google.iq/maps/search/+33.4805,43.1654/@33.4805,43.1654,14z?hl=en","Maplink2")</f>
        <v>Maplink2</v>
      </c>
      <c r="AY105" s="20" t="str">
        <f>HYPERLINK("http://www.bing.com/maps/?lvl=14&amp;sty=h&amp;cp=33.4805~43.1654&amp;sp=point.33.4805_43.1654","Maplink3")</f>
        <v>Maplink3</v>
      </c>
    </row>
    <row r="106" spans="1:51" x14ac:dyDescent="0.25">
      <c r="A106" s="9">
        <v>184</v>
      </c>
      <c r="B106" s="10" t="s">
        <v>8</v>
      </c>
      <c r="C106" s="10" t="s">
        <v>137</v>
      </c>
      <c r="D106" s="10" t="s">
        <v>162</v>
      </c>
      <c r="E106" s="10" t="s">
        <v>163</v>
      </c>
      <c r="F106" s="10">
        <v>33.429524999999998</v>
      </c>
      <c r="G106" s="10">
        <v>43.277873</v>
      </c>
      <c r="H106" s="10" t="s">
        <v>79</v>
      </c>
      <c r="I106" s="10" t="s">
        <v>139</v>
      </c>
      <c r="J106" s="10" t="s">
        <v>164</v>
      </c>
      <c r="K106" s="11">
        <v>814</v>
      </c>
      <c r="L106" s="11">
        <v>4884</v>
      </c>
      <c r="M106" s="11">
        <v>814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>
        <v>814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v>725</v>
      </c>
      <c r="AQ106" s="11"/>
      <c r="AR106" s="11"/>
      <c r="AS106" s="11"/>
      <c r="AT106" s="11"/>
      <c r="AU106" s="11">
        <v>89</v>
      </c>
      <c r="AV106" s="11"/>
      <c r="AW106" s="20" t="str">
        <f>HYPERLINK("http://www.openstreetmap.org/?mlat=33.4295&amp;mlon=43.2779&amp;zoom=12#map=12/33.4295/43.2779","Maplink1")</f>
        <v>Maplink1</v>
      </c>
      <c r="AX106" s="20" t="str">
        <f>HYPERLINK("https://www.google.iq/maps/search/+33.4295,43.2779/@33.4295,43.2779,14z?hl=en","Maplink2")</f>
        <v>Maplink2</v>
      </c>
      <c r="AY106" s="20" t="str">
        <f>HYPERLINK("http://www.bing.com/maps/?lvl=14&amp;sty=h&amp;cp=33.4295~43.2779&amp;sp=point.33.4295_43.2779","Maplink3")</f>
        <v>Maplink3</v>
      </c>
    </row>
    <row r="107" spans="1:51" x14ac:dyDescent="0.25">
      <c r="A107" s="9">
        <v>29475</v>
      </c>
      <c r="B107" s="10" t="s">
        <v>8</v>
      </c>
      <c r="C107" s="10" t="s">
        <v>137</v>
      </c>
      <c r="D107" s="10" t="s">
        <v>165</v>
      </c>
      <c r="E107" s="10" t="s">
        <v>166</v>
      </c>
      <c r="F107" s="10">
        <v>33.468018000000001</v>
      </c>
      <c r="G107" s="10">
        <v>43.175849999999997</v>
      </c>
      <c r="H107" s="10" t="s">
        <v>79</v>
      </c>
      <c r="I107" s="10" t="s">
        <v>139</v>
      </c>
      <c r="J107" s="10"/>
      <c r="K107" s="11">
        <v>5097</v>
      </c>
      <c r="L107" s="11">
        <v>30582</v>
      </c>
      <c r="M107" s="11">
        <v>4847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>
        <v>250</v>
      </c>
      <c r="AC107" s="11"/>
      <c r="AD107" s="11"/>
      <c r="AE107" s="11"/>
      <c r="AF107" s="11">
        <v>5097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v>289</v>
      </c>
      <c r="AQ107" s="11"/>
      <c r="AR107" s="11"/>
      <c r="AS107" s="11"/>
      <c r="AT107" s="11">
        <v>438</v>
      </c>
      <c r="AU107" s="11">
        <v>4370</v>
      </c>
      <c r="AV107" s="11"/>
      <c r="AW107" s="20" t="str">
        <f>HYPERLINK("http://www.openstreetmap.org/?mlat=33.468&amp;mlon=43.1758&amp;zoom=12#map=12/33.468/43.1758","Maplink1")</f>
        <v>Maplink1</v>
      </c>
      <c r="AX107" s="20" t="str">
        <f>HYPERLINK("https://www.google.iq/maps/search/+33.468,43.1758/@33.468,43.1758,14z?hl=en","Maplink2")</f>
        <v>Maplink2</v>
      </c>
      <c r="AY107" s="20" t="str">
        <f>HYPERLINK("http://www.bing.com/maps/?lvl=14&amp;sty=h&amp;cp=33.468~43.1758&amp;sp=point.33.468_43.1758","Maplink3")</f>
        <v>Maplink3</v>
      </c>
    </row>
    <row r="108" spans="1:51" x14ac:dyDescent="0.25">
      <c r="A108" s="9">
        <v>23856</v>
      </c>
      <c r="B108" s="10" t="s">
        <v>8</v>
      </c>
      <c r="C108" s="10" t="s">
        <v>137</v>
      </c>
      <c r="D108" s="10" t="s">
        <v>1409</v>
      </c>
      <c r="E108" s="10" t="s">
        <v>1322</v>
      </c>
      <c r="F108" s="10">
        <v>33.393008000000002</v>
      </c>
      <c r="G108" s="10">
        <v>43.560879</v>
      </c>
      <c r="H108" s="10" t="s">
        <v>79</v>
      </c>
      <c r="I108" s="10" t="s">
        <v>139</v>
      </c>
      <c r="J108" s="10" t="s">
        <v>1323</v>
      </c>
      <c r="K108" s="11">
        <v>187</v>
      </c>
      <c r="L108" s="11">
        <v>1122</v>
      </c>
      <c r="M108" s="11">
        <v>187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v>187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>
        <v>187</v>
      </c>
      <c r="AU108" s="11"/>
      <c r="AV108" s="11"/>
      <c r="AW108" s="20" t="str">
        <f>HYPERLINK("http://www.openstreetmap.org/?mlat=33.393&amp;mlon=43.5609&amp;zoom=12#map=12/33.393/43.5609","Maplink1")</f>
        <v>Maplink1</v>
      </c>
      <c r="AX108" s="20" t="str">
        <f>HYPERLINK("https://www.google.iq/maps/search/+33.393,43.5609/@33.393,43.5609,14z?hl=en","Maplink2")</f>
        <v>Maplink2</v>
      </c>
      <c r="AY108" s="20" t="str">
        <f>HYPERLINK("http://www.bing.com/maps/?lvl=14&amp;sty=h&amp;cp=33.393~43.5609&amp;sp=point.33.393_43.5609","Maplink3")</f>
        <v>Maplink3</v>
      </c>
    </row>
    <row r="109" spans="1:51" x14ac:dyDescent="0.25">
      <c r="A109" s="9">
        <v>29494</v>
      </c>
      <c r="B109" s="10" t="s">
        <v>10</v>
      </c>
      <c r="C109" s="10" t="s">
        <v>167</v>
      </c>
      <c r="D109" s="10" t="s">
        <v>168</v>
      </c>
      <c r="E109" s="10" t="s">
        <v>169</v>
      </c>
      <c r="F109" s="10">
        <v>33.369900000000001</v>
      </c>
      <c r="G109" s="10">
        <v>44.042200000000001</v>
      </c>
      <c r="H109" s="10" t="s">
        <v>170</v>
      </c>
      <c r="I109" s="10" t="s">
        <v>171</v>
      </c>
      <c r="J109" s="10"/>
      <c r="K109" s="11">
        <v>28</v>
      </c>
      <c r="L109" s="11">
        <v>168</v>
      </c>
      <c r="M109" s="11"/>
      <c r="N109" s="11"/>
      <c r="O109" s="11">
        <v>28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>
        <v>28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>
        <v>28</v>
      </c>
      <c r="AS109" s="11"/>
      <c r="AT109" s="11"/>
      <c r="AU109" s="11"/>
      <c r="AV109" s="11"/>
      <c r="AW109" s="20" t="str">
        <f>HYPERLINK("http://www.openstreetmap.org/?mlat=33.3699&amp;mlon=44.0422&amp;zoom=12#map=12/33.3699/44.0422","Maplink1")</f>
        <v>Maplink1</v>
      </c>
      <c r="AX109" s="20" t="str">
        <f>HYPERLINK("https://www.google.iq/maps/search/+33.3699,44.0422/@33.3699,44.0422,14z?hl=en","Maplink2")</f>
        <v>Maplink2</v>
      </c>
      <c r="AY109" s="20" t="str">
        <f>HYPERLINK("http://www.bing.com/maps/?lvl=14&amp;sty=h&amp;cp=33.3699~44.0422&amp;sp=point.33.3699_44.0422","Maplink3")</f>
        <v>Maplink3</v>
      </c>
    </row>
    <row r="110" spans="1:51" x14ac:dyDescent="0.25">
      <c r="A110" s="9">
        <v>29497</v>
      </c>
      <c r="B110" s="10" t="s">
        <v>10</v>
      </c>
      <c r="C110" s="10" t="s">
        <v>167</v>
      </c>
      <c r="D110" s="10" t="s">
        <v>769</v>
      </c>
      <c r="E110" s="10" t="s">
        <v>172</v>
      </c>
      <c r="F110" s="10">
        <v>33.392510000000001</v>
      </c>
      <c r="G110" s="10">
        <v>44.041370000000001</v>
      </c>
      <c r="H110" s="10" t="s">
        <v>170</v>
      </c>
      <c r="I110" s="10" t="s">
        <v>171</v>
      </c>
      <c r="J110" s="10"/>
      <c r="K110" s="11">
        <v>39</v>
      </c>
      <c r="L110" s="11">
        <v>234</v>
      </c>
      <c r="M110" s="11"/>
      <c r="N110" s="11"/>
      <c r="O110" s="11">
        <v>39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v>39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>
        <v>39</v>
      </c>
      <c r="AT110" s="11"/>
      <c r="AU110" s="11"/>
      <c r="AV110" s="11"/>
      <c r="AW110" s="20" t="str">
        <f>HYPERLINK("http://www.openstreetmap.org/?mlat=33.3925&amp;mlon=44.0414&amp;zoom=12#map=12/33.3925/44.0414","Maplink1")</f>
        <v>Maplink1</v>
      </c>
      <c r="AX110" s="20" t="str">
        <f>HYPERLINK("https://www.google.iq/maps/search/+33.3925,44.0414/@33.3925,44.0414,14z?hl=en","Maplink2")</f>
        <v>Maplink2</v>
      </c>
      <c r="AY110" s="20" t="str">
        <f>HYPERLINK("http://www.bing.com/maps/?lvl=14&amp;sty=h&amp;cp=33.3925~44.0414&amp;sp=point.33.3925_44.0414","Maplink3")</f>
        <v>Maplink3</v>
      </c>
    </row>
    <row r="111" spans="1:51" x14ac:dyDescent="0.25">
      <c r="A111" s="9">
        <v>29531</v>
      </c>
      <c r="B111" s="10" t="s">
        <v>10</v>
      </c>
      <c r="C111" s="10" t="s">
        <v>167</v>
      </c>
      <c r="D111" s="10" t="s">
        <v>173</v>
      </c>
      <c r="E111" s="10" t="s">
        <v>883</v>
      </c>
      <c r="F111" s="10">
        <v>33.345509999999997</v>
      </c>
      <c r="G111" s="10">
        <v>44.109369999999998</v>
      </c>
      <c r="H111" s="10" t="s">
        <v>170</v>
      </c>
      <c r="I111" s="10" t="s">
        <v>171</v>
      </c>
      <c r="J111" s="10"/>
      <c r="K111" s="11">
        <v>76</v>
      </c>
      <c r="L111" s="11">
        <v>456</v>
      </c>
      <c r="M111" s="11"/>
      <c r="N111" s="11"/>
      <c r="O111" s="11">
        <v>76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>
        <v>76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>
        <v>33</v>
      </c>
      <c r="AS111" s="11">
        <v>43</v>
      </c>
      <c r="AT111" s="11"/>
      <c r="AU111" s="11"/>
      <c r="AV111" s="11"/>
      <c r="AW111" s="20" t="str">
        <f>HYPERLINK("http://www.openstreetmap.org/?mlat=33.3455&amp;mlon=44.1094&amp;zoom=12#map=12/33.3455/44.1094","Maplink1")</f>
        <v>Maplink1</v>
      </c>
      <c r="AX111" s="20" t="str">
        <f>HYPERLINK("https://www.google.iq/maps/search/+33.3455,44.1094/@33.3455,44.1094,14z?hl=en","Maplink2")</f>
        <v>Maplink2</v>
      </c>
      <c r="AY111" s="20" t="str">
        <f>HYPERLINK("http://www.bing.com/maps/?lvl=14&amp;sty=h&amp;cp=33.3455~44.1094&amp;sp=point.33.3455_44.1094","Maplink3")</f>
        <v>Maplink3</v>
      </c>
    </row>
    <row r="112" spans="1:51" x14ac:dyDescent="0.25">
      <c r="A112" s="9">
        <v>29498</v>
      </c>
      <c r="B112" s="10" t="s">
        <v>10</v>
      </c>
      <c r="C112" s="10" t="s">
        <v>167</v>
      </c>
      <c r="D112" s="10" t="s">
        <v>174</v>
      </c>
      <c r="E112" s="10" t="s">
        <v>175</v>
      </c>
      <c r="F112" s="10">
        <v>33.368130000000001</v>
      </c>
      <c r="G112" s="10">
        <v>44.012509999999999</v>
      </c>
      <c r="H112" s="10" t="s">
        <v>170</v>
      </c>
      <c r="I112" s="10" t="s">
        <v>171</v>
      </c>
      <c r="J112" s="10"/>
      <c r="K112" s="11">
        <v>25</v>
      </c>
      <c r="L112" s="11">
        <v>150</v>
      </c>
      <c r="M112" s="11"/>
      <c r="N112" s="11"/>
      <c r="O112" s="11">
        <v>25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>
        <v>25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>
        <v>25</v>
      </c>
      <c r="AT112" s="11"/>
      <c r="AU112" s="11"/>
      <c r="AV112" s="11"/>
      <c r="AW112" s="20" t="str">
        <f>HYPERLINK("http://www.openstreetmap.org/?mlat=33.3681&amp;mlon=44.0125&amp;zoom=12#map=12/33.3681/44.0125","Maplink1")</f>
        <v>Maplink1</v>
      </c>
      <c r="AX112" s="20" t="str">
        <f>HYPERLINK("https://www.google.iq/maps/search/+33.3681,44.0125/@33.3681,44.0125,14z?hl=en","Maplink2")</f>
        <v>Maplink2</v>
      </c>
      <c r="AY112" s="20" t="str">
        <f>HYPERLINK("http://www.bing.com/maps/?lvl=14&amp;sty=h&amp;cp=33.3681~44.0125&amp;sp=point.33.3681_44.0125","Maplink3")</f>
        <v>Maplink3</v>
      </c>
    </row>
    <row r="113" spans="1:51" x14ac:dyDescent="0.25">
      <c r="A113" s="9">
        <v>29495</v>
      </c>
      <c r="B113" s="10" t="s">
        <v>10</v>
      </c>
      <c r="C113" s="10" t="s">
        <v>167</v>
      </c>
      <c r="D113" s="10" t="s">
        <v>176</v>
      </c>
      <c r="E113" s="10" t="s">
        <v>177</v>
      </c>
      <c r="F113" s="10">
        <v>33.413400000000003</v>
      </c>
      <c r="G113" s="10">
        <v>44.060600000000001</v>
      </c>
      <c r="H113" s="10" t="s">
        <v>170</v>
      </c>
      <c r="I113" s="10" t="s">
        <v>171</v>
      </c>
      <c r="J113" s="10"/>
      <c r="K113" s="11">
        <v>37</v>
      </c>
      <c r="L113" s="11">
        <v>222</v>
      </c>
      <c r="M113" s="11"/>
      <c r="N113" s="11"/>
      <c r="O113" s="11">
        <v>37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v>37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>
        <v>37</v>
      </c>
      <c r="AS113" s="11"/>
      <c r="AT113" s="11"/>
      <c r="AU113" s="11"/>
      <c r="AV113" s="11"/>
      <c r="AW113" s="20" t="str">
        <f>HYPERLINK("http://www.openstreetmap.org/?mlat=33.4134&amp;mlon=44.0606&amp;zoom=12#map=12/33.4134/44.0606","Maplink1")</f>
        <v>Maplink1</v>
      </c>
      <c r="AX113" s="20" t="str">
        <f>HYPERLINK("https://www.google.iq/maps/search/+33.4134,44.0606/@33.4134,44.0606,14z?hl=en","Maplink2")</f>
        <v>Maplink2</v>
      </c>
      <c r="AY113" s="20" t="str">
        <f>HYPERLINK("http://www.bing.com/maps/?lvl=14&amp;sty=h&amp;cp=33.4134~44.0606&amp;sp=point.33.4134_44.0606","Maplink3")</f>
        <v>Maplink3</v>
      </c>
    </row>
    <row r="114" spans="1:51" x14ac:dyDescent="0.25">
      <c r="A114" s="9">
        <v>29529</v>
      </c>
      <c r="B114" s="10" t="s">
        <v>10</v>
      </c>
      <c r="C114" s="10" t="s">
        <v>167</v>
      </c>
      <c r="D114" s="10" t="s">
        <v>178</v>
      </c>
      <c r="E114" s="10" t="s">
        <v>179</v>
      </c>
      <c r="F114" s="10">
        <v>33.255400000000002</v>
      </c>
      <c r="G114" s="10">
        <v>43.861899999999999</v>
      </c>
      <c r="H114" s="10" t="s">
        <v>170</v>
      </c>
      <c r="I114" s="10" t="s">
        <v>171</v>
      </c>
      <c r="J114" s="10"/>
      <c r="K114" s="11">
        <v>400</v>
      </c>
      <c r="L114" s="11">
        <v>2400</v>
      </c>
      <c r="M114" s="11"/>
      <c r="N114" s="11"/>
      <c r="O114" s="11">
        <v>400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v>400</v>
      </c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>
        <v>400</v>
      </c>
      <c r="AT114" s="11"/>
      <c r="AU114" s="11"/>
      <c r="AV114" s="11"/>
      <c r="AW114" s="20" t="str">
        <f>HYPERLINK("http://www.openstreetmap.org/?mlat=33.2554&amp;mlon=43.8619&amp;zoom=12#map=12/33.2554/43.8619","Maplink1")</f>
        <v>Maplink1</v>
      </c>
      <c r="AX114" s="20" t="str">
        <f>HYPERLINK("https://www.google.iq/maps/search/+33.2554,43.8619/@33.2554,43.8619,14z?hl=en","Maplink2")</f>
        <v>Maplink2</v>
      </c>
      <c r="AY114" s="20" t="str">
        <f>HYPERLINK("http://www.bing.com/maps/?lvl=14&amp;sty=h&amp;cp=33.2554~43.8619&amp;sp=point.33.2554_43.8619","Maplink3")</f>
        <v>Maplink3</v>
      </c>
    </row>
    <row r="115" spans="1:51" x14ac:dyDescent="0.25">
      <c r="A115" s="9">
        <v>29532</v>
      </c>
      <c r="B115" s="10" t="s">
        <v>10</v>
      </c>
      <c r="C115" s="10" t="s">
        <v>167</v>
      </c>
      <c r="D115" s="10" t="s">
        <v>180</v>
      </c>
      <c r="E115" s="10" t="s">
        <v>884</v>
      </c>
      <c r="F115" s="10">
        <v>33.241030000000002</v>
      </c>
      <c r="G115" s="10">
        <v>43.849510000000002</v>
      </c>
      <c r="H115" s="10" t="s">
        <v>170</v>
      </c>
      <c r="I115" s="10" t="s">
        <v>171</v>
      </c>
      <c r="J115" s="10"/>
      <c r="K115" s="11">
        <v>109</v>
      </c>
      <c r="L115" s="11">
        <v>654</v>
      </c>
      <c r="M115" s="11"/>
      <c r="N115" s="11"/>
      <c r="O115" s="11">
        <v>109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>
        <v>109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>
        <v>109</v>
      </c>
      <c r="AS115" s="11"/>
      <c r="AT115" s="11"/>
      <c r="AU115" s="11"/>
      <c r="AV115" s="11"/>
      <c r="AW115" s="20" t="str">
        <f>HYPERLINK("http://www.openstreetmap.org/?mlat=33.241&amp;mlon=43.8495&amp;zoom=12#map=12/33.241/43.8495","Maplink1")</f>
        <v>Maplink1</v>
      </c>
      <c r="AX115" s="20" t="str">
        <f>HYPERLINK("https://www.google.iq/maps/search/+33.241,43.8495/@33.241,43.8495,14z?hl=en","Maplink2")</f>
        <v>Maplink2</v>
      </c>
      <c r="AY115" s="20" t="str">
        <f>HYPERLINK("http://www.bing.com/maps/?lvl=14&amp;sty=h&amp;cp=33.241~43.8495&amp;sp=point.33.241_43.8495","Maplink3")</f>
        <v>Maplink3</v>
      </c>
    </row>
    <row r="116" spans="1:51" x14ac:dyDescent="0.25">
      <c r="A116" s="9">
        <v>29533</v>
      </c>
      <c r="B116" s="10" t="s">
        <v>10</v>
      </c>
      <c r="C116" s="10" t="s">
        <v>167</v>
      </c>
      <c r="D116" s="10" t="s">
        <v>181</v>
      </c>
      <c r="E116" s="10" t="s">
        <v>885</v>
      </c>
      <c r="F116" s="10">
        <v>33.249899999999997</v>
      </c>
      <c r="G116" s="10">
        <v>43.867690000000003</v>
      </c>
      <c r="H116" s="10" t="s">
        <v>170</v>
      </c>
      <c r="I116" s="10" t="s">
        <v>171</v>
      </c>
      <c r="J116" s="10"/>
      <c r="K116" s="11">
        <v>320</v>
      </c>
      <c r="L116" s="11">
        <v>1920</v>
      </c>
      <c r="M116" s="11"/>
      <c r="N116" s="11"/>
      <c r="O116" s="11">
        <v>220</v>
      </c>
      <c r="P116" s="11"/>
      <c r="Q116" s="11"/>
      <c r="R116" s="11"/>
      <c r="S116" s="11">
        <v>100</v>
      </c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v>320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>
        <v>271</v>
      </c>
      <c r="AS116" s="11">
        <v>49</v>
      </c>
      <c r="AT116" s="11"/>
      <c r="AU116" s="11"/>
      <c r="AV116" s="11"/>
      <c r="AW116" s="20" t="str">
        <f>HYPERLINK("http://www.openstreetmap.org/?mlat=33.2499&amp;mlon=43.8677&amp;zoom=12#map=12/33.2499/43.8677","Maplink1")</f>
        <v>Maplink1</v>
      </c>
      <c r="AX116" s="20" t="str">
        <f>HYPERLINK("https://www.google.iq/maps/search/+33.2499,43.8677/@33.2499,43.8677,14z?hl=en","Maplink2")</f>
        <v>Maplink2</v>
      </c>
      <c r="AY116" s="20" t="str">
        <f>HYPERLINK("http://www.bing.com/maps/?lvl=14&amp;sty=h&amp;cp=33.2499~43.8677&amp;sp=point.33.2499_43.8677","Maplink3")</f>
        <v>Maplink3</v>
      </c>
    </row>
    <row r="117" spans="1:51" x14ac:dyDescent="0.25">
      <c r="A117" s="9">
        <v>29496</v>
      </c>
      <c r="B117" s="10" t="s">
        <v>10</v>
      </c>
      <c r="C117" s="10" t="s">
        <v>167</v>
      </c>
      <c r="D117" s="10" t="s">
        <v>182</v>
      </c>
      <c r="E117" s="10" t="s">
        <v>183</v>
      </c>
      <c r="F117" s="10">
        <v>33.361089999999997</v>
      </c>
      <c r="G117" s="10">
        <v>43.998289999999997</v>
      </c>
      <c r="H117" s="10" t="s">
        <v>170</v>
      </c>
      <c r="I117" s="10" t="s">
        <v>171</v>
      </c>
      <c r="J117" s="10"/>
      <c r="K117" s="11">
        <v>41</v>
      </c>
      <c r="L117" s="11">
        <v>246</v>
      </c>
      <c r="M117" s="11"/>
      <c r="N117" s="11"/>
      <c r="O117" s="11">
        <v>41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>
        <v>41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>
        <v>41</v>
      </c>
      <c r="AT117" s="11"/>
      <c r="AU117" s="11"/>
      <c r="AV117" s="11"/>
      <c r="AW117" s="20" t="str">
        <f>HYPERLINK("http://www.openstreetmap.org/?mlat=33.3611&amp;mlon=43.9983&amp;zoom=12#map=12/33.3611/43.9983","Maplink1")</f>
        <v>Maplink1</v>
      </c>
      <c r="AX117" s="20" t="str">
        <f>HYPERLINK("https://www.google.iq/maps/search/+33.3611,43.9983/@33.3611,43.9983,14z?hl=en","Maplink2")</f>
        <v>Maplink2</v>
      </c>
      <c r="AY117" s="20" t="str">
        <f>HYPERLINK("http://www.bing.com/maps/?lvl=14&amp;sty=h&amp;cp=33.3611~43.9983&amp;sp=point.33.3611_43.9983","Maplink3")</f>
        <v>Maplink3</v>
      </c>
    </row>
    <row r="118" spans="1:51" x14ac:dyDescent="0.25">
      <c r="A118" s="9">
        <v>29499</v>
      </c>
      <c r="B118" s="10" t="s">
        <v>10</v>
      </c>
      <c r="C118" s="10" t="s">
        <v>167</v>
      </c>
      <c r="D118" s="10" t="s">
        <v>184</v>
      </c>
      <c r="E118" s="10" t="s">
        <v>886</v>
      </c>
      <c r="F118" s="10">
        <v>33.361199999999997</v>
      </c>
      <c r="G118" s="10">
        <v>43.993299999999998</v>
      </c>
      <c r="H118" s="10" t="s">
        <v>170</v>
      </c>
      <c r="I118" s="10" t="s">
        <v>171</v>
      </c>
      <c r="J118" s="10"/>
      <c r="K118" s="11">
        <v>71</v>
      </c>
      <c r="L118" s="11">
        <v>426</v>
      </c>
      <c r="M118" s="11"/>
      <c r="N118" s="11"/>
      <c r="O118" s="11">
        <v>52</v>
      </c>
      <c r="P118" s="11"/>
      <c r="Q118" s="11"/>
      <c r="R118" s="11"/>
      <c r="S118" s="11">
        <v>19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71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>
        <v>50</v>
      </c>
      <c r="AS118" s="11">
        <v>21</v>
      </c>
      <c r="AT118" s="11"/>
      <c r="AU118" s="11"/>
      <c r="AV118" s="11"/>
      <c r="AW118" s="20" t="str">
        <f>HYPERLINK("http://www.openstreetmap.org/?mlat=33.3612&amp;mlon=43.9933&amp;zoom=12#map=12/33.3612/43.9933","Maplink1")</f>
        <v>Maplink1</v>
      </c>
      <c r="AX118" s="20" t="str">
        <f>HYPERLINK("https://www.google.iq/maps/search/+33.3612,43.9933/@33.3612,43.9933,14z?hl=en","Maplink2")</f>
        <v>Maplink2</v>
      </c>
      <c r="AY118" s="20" t="str">
        <f>HYPERLINK("http://www.bing.com/maps/?lvl=14&amp;sty=h&amp;cp=33.3612~43.9933&amp;sp=point.33.3612_43.9933","Maplink3")</f>
        <v>Maplink3</v>
      </c>
    </row>
    <row r="119" spans="1:51" x14ac:dyDescent="0.25">
      <c r="A119" s="9">
        <v>29530</v>
      </c>
      <c r="B119" s="10" t="s">
        <v>10</v>
      </c>
      <c r="C119" s="10" t="s">
        <v>167</v>
      </c>
      <c r="D119" s="10" t="s">
        <v>185</v>
      </c>
      <c r="E119" s="10" t="s">
        <v>887</v>
      </c>
      <c r="F119" s="10">
        <v>33.258200000000002</v>
      </c>
      <c r="G119" s="10">
        <v>43.8566</v>
      </c>
      <c r="H119" s="10" t="s">
        <v>170</v>
      </c>
      <c r="I119" s="10" t="s">
        <v>171</v>
      </c>
      <c r="J119" s="10"/>
      <c r="K119" s="11">
        <v>132</v>
      </c>
      <c r="L119" s="11">
        <v>792</v>
      </c>
      <c r="M119" s="11"/>
      <c r="N119" s="11"/>
      <c r="O119" s="11">
        <v>132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>
        <v>132</v>
      </c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>
        <v>42</v>
      </c>
      <c r="AS119" s="11">
        <v>90</v>
      </c>
      <c r="AT119" s="11"/>
      <c r="AU119" s="11"/>
      <c r="AV119" s="11"/>
      <c r="AW119" s="20" t="str">
        <f>HYPERLINK("http://www.openstreetmap.org/?mlat=33.2582&amp;mlon=43.8566&amp;zoom=12#map=12/33.2582/43.8566","Maplink1")</f>
        <v>Maplink1</v>
      </c>
      <c r="AX119" s="20" t="str">
        <f>HYPERLINK("https://www.google.iq/maps/search/+33.2582,43.8566/@33.2582,43.8566,14z?hl=en","Maplink2")</f>
        <v>Maplink2</v>
      </c>
      <c r="AY119" s="20" t="str">
        <f>HYPERLINK("http://www.bing.com/maps/?lvl=14&amp;sty=h&amp;cp=33.2582~43.8566&amp;sp=point.33.2582_43.8566","Maplink3")</f>
        <v>Maplink3</v>
      </c>
    </row>
    <row r="120" spans="1:51" x14ac:dyDescent="0.25">
      <c r="A120" s="9">
        <v>25167</v>
      </c>
      <c r="B120" s="10" t="s">
        <v>10</v>
      </c>
      <c r="C120" s="10" t="s">
        <v>186</v>
      </c>
      <c r="D120" s="10" t="s">
        <v>1250</v>
      </c>
      <c r="E120" s="10" t="s">
        <v>888</v>
      </c>
      <c r="F120" s="10">
        <v>33.464363991200003</v>
      </c>
      <c r="G120" s="10">
        <v>44.167395318799997</v>
      </c>
      <c r="H120" s="10" t="s">
        <v>170</v>
      </c>
      <c r="I120" s="10" t="s">
        <v>187</v>
      </c>
      <c r="J120" s="10"/>
      <c r="K120" s="11">
        <v>142</v>
      </c>
      <c r="L120" s="11">
        <v>852</v>
      </c>
      <c r="M120" s="11"/>
      <c r="N120" s="11"/>
      <c r="O120" s="11">
        <v>142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>
        <v>142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>
        <v>142</v>
      </c>
      <c r="AT120" s="11"/>
      <c r="AU120" s="11"/>
      <c r="AV120" s="11"/>
      <c r="AW120" s="20" t="str">
        <f>HYPERLINK("http://www.openstreetmap.org/?mlat=33.4644&amp;mlon=44.1674&amp;zoom=12#map=12/33.4644/44.1674","Maplink1")</f>
        <v>Maplink1</v>
      </c>
      <c r="AX120" s="20" t="str">
        <f>HYPERLINK("https://www.google.iq/maps/search/+33.4644,44.1674/@33.4644,44.1674,14z?hl=en","Maplink2")</f>
        <v>Maplink2</v>
      </c>
      <c r="AY120" s="20" t="str">
        <f>HYPERLINK("http://www.bing.com/maps/?lvl=14&amp;sty=h&amp;cp=33.4644~44.1674&amp;sp=point.33.4644_44.1674","Maplink3")</f>
        <v>Maplink3</v>
      </c>
    </row>
    <row r="121" spans="1:51" x14ac:dyDescent="0.25">
      <c r="A121" s="9">
        <v>22541</v>
      </c>
      <c r="B121" s="10" t="s">
        <v>10</v>
      </c>
      <c r="C121" s="10" t="s">
        <v>186</v>
      </c>
      <c r="D121" s="10" t="s">
        <v>1251</v>
      </c>
      <c r="E121" s="10" t="s">
        <v>1252</v>
      </c>
      <c r="F121" s="10">
        <v>33.474299999999999</v>
      </c>
      <c r="G121" s="10">
        <v>44.241799999999998</v>
      </c>
      <c r="H121" s="10" t="s">
        <v>170</v>
      </c>
      <c r="I121" s="10" t="s">
        <v>187</v>
      </c>
      <c r="J121" s="10" t="s">
        <v>194</v>
      </c>
      <c r="K121" s="11">
        <v>180</v>
      </c>
      <c r="L121" s="11">
        <v>1080</v>
      </c>
      <c r="M121" s="11"/>
      <c r="N121" s="11">
        <v>22</v>
      </c>
      <c r="O121" s="11">
        <v>158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>
        <v>180</v>
      </c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>
        <v>180</v>
      </c>
      <c r="AT121" s="11"/>
      <c r="AU121" s="11"/>
      <c r="AV121" s="11"/>
      <c r="AW121" s="20" t="str">
        <f>HYPERLINK("http://www.openstreetmap.org/?mlat=33.4743&amp;mlon=44.2418&amp;zoom=12#map=12/33.4743/44.2418","Maplink1")</f>
        <v>Maplink1</v>
      </c>
      <c r="AX121" s="20" t="str">
        <f>HYPERLINK("https://www.google.iq/maps/search/+33.4743,44.2418/@33.4743,44.2418,14z?hl=en","Maplink2")</f>
        <v>Maplink2</v>
      </c>
      <c r="AY121" s="20" t="str">
        <f>HYPERLINK("http://www.bing.com/maps/?lvl=14&amp;sty=h&amp;cp=33.4743~44.2418&amp;sp=point.33.4743_44.2418","Maplink3")</f>
        <v>Maplink3</v>
      </c>
    </row>
    <row r="122" spans="1:51" x14ac:dyDescent="0.25">
      <c r="A122" s="9">
        <v>22611</v>
      </c>
      <c r="B122" s="10" t="s">
        <v>10</v>
      </c>
      <c r="C122" s="10" t="s">
        <v>186</v>
      </c>
      <c r="D122" s="10" t="s">
        <v>1022</v>
      </c>
      <c r="E122" s="10" t="s">
        <v>1023</v>
      </c>
      <c r="F122" s="10">
        <v>33.460302046499997</v>
      </c>
      <c r="G122" s="10">
        <v>44.166876889000001</v>
      </c>
      <c r="H122" s="10" t="s">
        <v>170</v>
      </c>
      <c r="I122" s="10" t="s">
        <v>187</v>
      </c>
      <c r="J122" s="10" t="s">
        <v>193</v>
      </c>
      <c r="K122" s="11">
        <v>76</v>
      </c>
      <c r="L122" s="11">
        <v>456</v>
      </c>
      <c r="M122" s="11"/>
      <c r="N122" s="11"/>
      <c r="O122" s="11">
        <v>76</v>
      </c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>
        <v>76</v>
      </c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>
        <v>76</v>
      </c>
      <c r="AT122" s="11"/>
      <c r="AU122" s="11"/>
      <c r="AV122" s="11"/>
      <c r="AW122" s="20" t="str">
        <f>HYPERLINK("http://www.openstreetmap.org/?mlat=33.4603&amp;mlon=44.1669&amp;zoom=12#map=12/33.4603/44.1669","Maplink1")</f>
        <v>Maplink1</v>
      </c>
      <c r="AX122" s="20" t="str">
        <f>HYPERLINK("https://www.google.iq/maps/search/+33.4603,44.1669/@33.4603,44.1669,14z?hl=en","Maplink2")</f>
        <v>Maplink2</v>
      </c>
      <c r="AY122" s="20" t="str">
        <f>HYPERLINK("http://www.bing.com/maps/?lvl=14&amp;sty=h&amp;cp=33.4603~44.1669&amp;sp=point.33.4603_44.1669","Maplink3")</f>
        <v>Maplink3</v>
      </c>
    </row>
    <row r="123" spans="1:51" x14ac:dyDescent="0.25">
      <c r="A123" s="9">
        <v>25168</v>
      </c>
      <c r="B123" s="10" t="s">
        <v>10</v>
      </c>
      <c r="C123" s="10" t="s">
        <v>186</v>
      </c>
      <c r="D123" s="10" t="s">
        <v>188</v>
      </c>
      <c r="E123" s="10" t="s">
        <v>892</v>
      </c>
      <c r="F123" s="10">
        <v>33.466989301600002</v>
      </c>
      <c r="G123" s="10">
        <v>44.170490136600002</v>
      </c>
      <c r="H123" s="10" t="s">
        <v>170</v>
      </c>
      <c r="I123" s="10" t="s">
        <v>187</v>
      </c>
      <c r="J123" s="10"/>
      <c r="K123" s="11">
        <v>337</v>
      </c>
      <c r="L123" s="11">
        <v>2022</v>
      </c>
      <c r="M123" s="11"/>
      <c r="N123" s="11"/>
      <c r="O123" s="11">
        <v>337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>
        <v>337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>
        <v>337</v>
      </c>
      <c r="AS123" s="11"/>
      <c r="AT123" s="11"/>
      <c r="AU123" s="11"/>
      <c r="AV123" s="11"/>
      <c r="AW123" s="20" t="str">
        <f>HYPERLINK("http://www.openstreetmap.org/?mlat=33.467&amp;mlon=44.1705&amp;zoom=12#map=12/33.467/44.1705","Maplink1")</f>
        <v>Maplink1</v>
      </c>
      <c r="AX123" s="20" t="str">
        <f>HYPERLINK("https://www.google.iq/maps/search/+33.467,44.1705/@33.467,44.1705,14z?hl=en","Maplink2")</f>
        <v>Maplink2</v>
      </c>
      <c r="AY123" s="20" t="str">
        <f>HYPERLINK("http://www.bing.com/maps/?lvl=14&amp;sty=h&amp;cp=33.467~44.1705&amp;sp=point.33.467_44.1705","Maplink3")</f>
        <v>Maplink3</v>
      </c>
    </row>
    <row r="124" spans="1:51" x14ac:dyDescent="0.25">
      <c r="A124" s="9">
        <v>25160</v>
      </c>
      <c r="B124" s="10" t="s">
        <v>10</v>
      </c>
      <c r="C124" s="10" t="s">
        <v>186</v>
      </c>
      <c r="D124" s="10" t="s">
        <v>1253</v>
      </c>
      <c r="E124" s="10" t="s">
        <v>889</v>
      </c>
      <c r="F124" s="10">
        <v>33.491100000000003</v>
      </c>
      <c r="G124" s="10">
        <v>44.201700000000002</v>
      </c>
      <c r="H124" s="10" t="s">
        <v>170</v>
      </c>
      <c r="I124" s="10" t="s">
        <v>187</v>
      </c>
      <c r="J124" s="10"/>
      <c r="K124" s="11">
        <v>50</v>
      </c>
      <c r="L124" s="11">
        <v>300</v>
      </c>
      <c r="M124" s="11"/>
      <c r="N124" s="11"/>
      <c r="O124" s="11">
        <v>50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>
        <v>50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>
        <v>50</v>
      </c>
      <c r="AS124" s="11"/>
      <c r="AT124" s="11"/>
      <c r="AU124" s="11"/>
      <c r="AV124" s="11"/>
      <c r="AW124" s="20" t="str">
        <f>HYPERLINK("http://www.openstreetmap.org/?mlat=33.4911&amp;mlon=44.2017&amp;zoom=12#map=12/33.4911/44.2017","Maplink1")</f>
        <v>Maplink1</v>
      </c>
      <c r="AX124" s="20" t="str">
        <f>HYPERLINK("https://www.google.iq/maps/search/+33.4911,44.2017/@33.4911,44.2017,14z?hl=en","Maplink2")</f>
        <v>Maplink2</v>
      </c>
      <c r="AY124" s="20" t="str">
        <f>HYPERLINK("http://www.bing.com/maps/?lvl=14&amp;sty=h&amp;cp=33.4911~44.2017&amp;sp=point.33.4911_44.2017","Maplink3")</f>
        <v>Maplink3</v>
      </c>
    </row>
    <row r="125" spans="1:51" x14ac:dyDescent="0.25">
      <c r="A125" s="9">
        <v>25161</v>
      </c>
      <c r="B125" s="10" t="s">
        <v>10</v>
      </c>
      <c r="C125" s="10" t="s">
        <v>186</v>
      </c>
      <c r="D125" s="10" t="s">
        <v>189</v>
      </c>
      <c r="E125" s="10" t="s">
        <v>893</v>
      </c>
      <c r="F125" s="10">
        <v>33.461047751099997</v>
      </c>
      <c r="G125" s="10">
        <v>44.143778349400002</v>
      </c>
      <c r="H125" s="10" t="s">
        <v>170</v>
      </c>
      <c r="I125" s="10" t="s">
        <v>187</v>
      </c>
      <c r="J125" s="10"/>
      <c r="K125" s="11">
        <v>20</v>
      </c>
      <c r="L125" s="11">
        <v>120</v>
      </c>
      <c r="M125" s="11"/>
      <c r="N125" s="11"/>
      <c r="O125" s="11">
        <v>20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>
        <v>20</v>
      </c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>
        <v>20</v>
      </c>
      <c r="AT125" s="11"/>
      <c r="AU125" s="11"/>
      <c r="AV125" s="11"/>
      <c r="AW125" s="20" t="str">
        <f>HYPERLINK("http://www.openstreetmap.org/?mlat=33.461&amp;mlon=44.1438&amp;zoom=12#map=12/33.461/44.1438","Maplink1")</f>
        <v>Maplink1</v>
      </c>
      <c r="AX125" s="20" t="str">
        <f>HYPERLINK("https://www.google.iq/maps/search/+33.461,44.1438/@33.461,44.1438,14z?hl=en","Maplink2")</f>
        <v>Maplink2</v>
      </c>
      <c r="AY125" s="20" t="str">
        <f>HYPERLINK("http://www.bing.com/maps/?lvl=14&amp;sty=h&amp;cp=33.461~44.1438&amp;sp=point.33.461_44.1438","Maplink3")</f>
        <v>Maplink3</v>
      </c>
    </row>
    <row r="126" spans="1:51" x14ac:dyDescent="0.25">
      <c r="A126" s="9">
        <v>23329</v>
      </c>
      <c r="B126" s="10" t="s">
        <v>10</v>
      </c>
      <c r="C126" s="10" t="s">
        <v>186</v>
      </c>
      <c r="D126" s="10" t="s">
        <v>190</v>
      </c>
      <c r="E126" s="10" t="s">
        <v>894</v>
      </c>
      <c r="F126" s="10">
        <v>33.471301658199998</v>
      </c>
      <c r="G126" s="10">
        <v>44.147623751399998</v>
      </c>
      <c r="H126" s="10" t="s">
        <v>170</v>
      </c>
      <c r="I126" s="10" t="s">
        <v>187</v>
      </c>
      <c r="J126" s="10" t="s">
        <v>191</v>
      </c>
      <c r="K126" s="11">
        <v>56</v>
      </c>
      <c r="L126" s="11">
        <v>336</v>
      </c>
      <c r="M126" s="11"/>
      <c r="N126" s="11"/>
      <c r="O126" s="11">
        <v>56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>
        <v>56</v>
      </c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>
        <v>56</v>
      </c>
      <c r="AT126" s="11"/>
      <c r="AU126" s="11"/>
      <c r="AV126" s="11"/>
      <c r="AW126" s="20" t="str">
        <f>HYPERLINK("http://www.openstreetmap.org/?mlat=33.4713&amp;mlon=44.1476&amp;zoom=12#map=12/33.4713/44.1476","Maplink1")</f>
        <v>Maplink1</v>
      </c>
      <c r="AX126" s="20" t="str">
        <f>HYPERLINK("https://www.google.iq/maps/search/+33.4713,44.1476/@33.4713,44.1476,14z?hl=en","Maplink2")</f>
        <v>Maplink2</v>
      </c>
      <c r="AY126" s="20" t="str">
        <f>HYPERLINK("http://www.bing.com/maps/?lvl=14&amp;sty=h&amp;cp=33.4713~44.1476&amp;sp=point.33.4713_44.1476","Maplink3")</f>
        <v>Maplink3</v>
      </c>
    </row>
    <row r="127" spans="1:51" x14ac:dyDescent="0.25">
      <c r="A127" s="9">
        <v>25163</v>
      </c>
      <c r="B127" s="10" t="s">
        <v>10</v>
      </c>
      <c r="C127" s="10" t="s">
        <v>186</v>
      </c>
      <c r="D127" s="10" t="s">
        <v>1254</v>
      </c>
      <c r="E127" s="10" t="s">
        <v>890</v>
      </c>
      <c r="F127" s="10">
        <v>33.450786260400001</v>
      </c>
      <c r="G127" s="10">
        <v>44.150446758699999</v>
      </c>
      <c r="H127" s="10" t="s">
        <v>170</v>
      </c>
      <c r="I127" s="10" t="s">
        <v>187</v>
      </c>
      <c r="J127" s="10"/>
      <c r="K127" s="11">
        <v>175</v>
      </c>
      <c r="L127" s="11">
        <v>1050</v>
      </c>
      <c r="M127" s="11"/>
      <c r="N127" s="11">
        <v>12</v>
      </c>
      <c r="O127" s="11">
        <v>155</v>
      </c>
      <c r="P127" s="11"/>
      <c r="Q127" s="11"/>
      <c r="R127" s="11"/>
      <c r="S127" s="11"/>
      <c r="T127" s="11">
        <v>8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>
        <v>175</v>
      </c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>
        <v>175</v>
      </c>
      <c r="AS127" s="11"/>
      <c r="AT127" s="11"/>
      <c r="AU127" s="11"/>
      <c r="AV127" s="11"/>
      <c r="AW127" s="20" t="str">
        <f>HYPERLINK("http://www.openstreetmap.org/?mlat=33.4508&amp;mlon=44.1504&amp;zoom=12#map=12/33.4508/44.1504","Maplink1")</f>
        <v>Maplink1</v>
      </c>
      <c r="AX127" s="20" t="str">
        <f>HYPERLINK("https://www.google.iq/maps/search/+33.4508,44.1504/@33.4508,44.1504,14z?hl=en","Maplink2")</f>
        <v>Maplink2</v>
      </c>
      <c r="AY127" s="20" t="str">
        <f>HYPERLINK("http://www.bing.com/maps/?lvl=14&amp;sty=h&amp;cp=33.4508~44.1504&amp;sp=point.33.4508_44.1504","Maplink3")</f>
        <v>Maplink3</v>
      </c>
    </row>
    <row r="128" spans="1:51" x14ac:dyDescent="0.25">
      <c r="A128" s="9">
        <v>25164</v>
      </c>
      <c r="B128" s="10" t="s">
        <v>10</v>
      </c>
      <c r="C128" s="10" t="s">
        <v>186</v>
      </c>
      <c r="D128" s="10" t="s">
        <v>192</v>
      </c>
      <c r="E128" s="10" t="s">
        <v>895</v>
      </c>
      <c r="F128" s="10">
        <v>33.468910000000001</v>
      </c>
      <c r="G128" s="10">
        <v>44.226880000000001</v>
      </c>
      <c r="H128" s="10" t="s">
        <v>170</v>
      </c>
      <c r="I128" s="10" t="s">
        <v>187</v>
      </c>
      <c r="J128" s="10"/>
      <c r="K128" s="11">
        <v>261</v>
      </c>
      <c r="L128" s="11">
        <v>1566</v>
      </c>
      <c r="M128" s="11"/>
      <c r="N128" s="11"/>
      <c r="O128" s="11">
        <v>261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>
        <v>261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>
        <v>261</v>
      </c>
      <c r="AS128" s="11"/>
      <c r="AT128" s="11"/>
      <c r="AU128" s="11"/>
      <c r="AV128" s="11"/>
      <c r="AW128" s="20" t="str">
        <f>HYPERLINK("http://www.openstreetmap.org/?mlat=33.4689&amp;mlon=44.2269&amp;zoom=12#map=12/33.4689/44.2269","Maplink1")</f>
        <v>Maplink1</v>
      </c>
      <c r="AX128" s="20" t="str">
        <f>HYPERLINK("https://www.google.iq/maps/search/+33.4689,44.2269/@33.4689,44.2269,14z?hl=en","Maplink2")</f>
        <v>Maplink2</v>
      </c>
      <c r="AY128" s="20" t="str">
        <f>HYPERLINK("http://www.bing.com/maps/?lvl=14&amp;sty=h&amp;cp=33.4689~44.2269&amp;sp=point.33.4689_44.2269","Maplink3")</f>
        <v>Maplink3</v>
      </c>
    </row>
    <row r="129" spans="1:51" x14ac:dyDescent="0.25">
      <c r="A129" s="9">
        <v>25165</v>
      </c>
      <c r="B129" s="10" t="s">
        <v>10</v>
      </c>
      <c r="C129" s="10" t="s">
        <v>186</v>
      </c>
      <c r="D129" s="10" t="s">
        <v>1255</v>
      </c>
      <c r="E129" s="10" t="s">
        <v>891</v>
      </c>
      <c r="F129" s="10">
        <v>33.480699999999999</v>
      </c>
      <c r="G129" s="10">
        <v>44.2622</v>
      </c>
      <c r="H129" s="10" t="s">
        <v>170</v>
      </c>
      <c r="I129" s="10" t="s">
        <v>187</v>
      </c>
      <c r="J129" s="10"/>
      <c r="K129" s="11">
        <v>58</v>
      </c>
      <c r="L129" s="11">
        <v>348</v>
      </c>
      <c r="M129" s="11"/>
      <c r="N129" s="11"/>
      <c r="O129" s="11">
        <v>58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>
        <v>58</v>
      </c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>
        <v>58</v>
      </c>
      <c r="AT129" s="11"/>
      <c r="AU129" s="11"/>
      <c r="AV129" s="11"/>
      <c r="AW129" s="20" t="str">
        <f>HYPERLINK("http://www.openstreetmap.org/?mlat=33.4807&amp;mlon=44.2622&amp;zoom=12#map=12/33.4807/44.2622","Maplink1")</f>
        <v>Maplink1</v>
      </c>
      <c r="AX129" s="20" t="str">
        <f>HYPERLINK("https://www.google.iq/maps/search/+33.4807,44.2622/@33.4807,44.2622,14z?hl=en","Maplink2")</f>
        <v>Maplink2</v>
      </c>
      <c r="AY129" s="20" t="str">
        <f>HYPERLINK("http://www.bing.com/maps/?lvl=14&amp;sty=h&amp;cp=33.4807~44.2622&amp;sp=point.33.4807_44.2622","Maplink3")</f>
        <v>Maplink3</v>
      </c>
    </row>
    <row r="130" spans="1:51" x14ac:dyDescent="0.25">
      <c r="A130" s="9">
        <v>29585</v>
      </c>
      <c r="B130" s="10" t="s">
        <v>10</v>
      </c>
      <c r="C130" s="10" t="s">
        <v>195</v>
      </c>
      <c r="D130" s="10" t="s">
        <v>1410</v>
      </c>
      <c r="E130" s="10" t="s">
        <v>1411</v>
      </c>
      <c r="F130" s="10">
        <v>33.028165000000001</v>
      </c>
      <c r="G130" s="10">
        <v>44.142736999999997</v>
      </c>
      <c r="H130" s="10" t="s">
        <v>170</v>
      </c>
      <c r="I130" s="10" t="s">
        <v>196</v>
      </c>
      <c r="J130" s="10"/>
      <c r="K130" s="11">
        <v>80</v>
      </c>
      <c r="L130" s="11">
        <v>480</v>
      </c>
      <c r="M130" s="11"/>
      <c r="N130" s="11">
        <v>20</v>
      </c>
      <c r="O130" s="11">
        <v>20</v>
      </c>
      <c r="P130" s="11"/>
      <c r="Q130" s="11"/>
      <c r="R130" s="11"/>
      <c r="S130" s="11">
        <v>20</v>
      </c>
      <c r="T130" s="11"/>
      <c r="U130" s="11"/>
      <c r="V130" s="11">
        <v>20</v>
      </c>
      <c r="W130" s="11"/>
      <c r="X130" s="11"/>
      <c r="Y130" s="11"/>
      <c r="Z130" s="11"/>
      <c r="AA130" s="11"/>
      <c r="AB130" s="11"/>
      <c r="AC130" s="11"/>
      <c r="AD130" s="11"/>
      <c r="AE130" s="11"/>
      <c r="AF130" s="11">
        <v>80</v>
      </c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>
        <v>80</v>
      </c>
      <c r="AS130" s="11"/>
      <c r="AT130" s="11"/>
      <c r="AU130" s="11"/>
      <c r="AV130" s="11"/>
      <c r="AW130" s="20" t="str">
        <f>HYPERLINK("http://www.openstreetmap.org/?mlat=33.0282&amp;mlon=44.1427&amp;zoom=12#map=12/33.0282/44.1427","Maplink1")</f>
        <v>Maplink1</v>
      </c>
      <c r="AX130" s="20" t="str">
        <f>HYPERLINK("https://www.google.iq/maps/search/+33.0282,44.1427/@33.0282,44.1427,14z?hl=en","Maplink2")</f>
        <v>Maplink2</v>
      </c>
      <c r="AY130" s="20" t="str">
        <f>HYPERLINK("http://www.bing.com/maps/?lvl=14&amp;sty=h&amp;cp=33.0282~44.1427&amp;sp=point.33.0282_44.1427","Maplink3")</f>
        <v>Maplink3</v>
      </c>
    </row>
    <row r="131" spans="1:51" x14ac:dyDescent="0.25">
      <c r="A131" s="9">
        <v>29525</v>
      </c>
      <c r="B131" s="10" t="s">
        <v>10</v>
      </c>
      <c r="C131" s="10" t="s">
        <v>195</v>
      </c>
      <c r="D131" s="10" t="s">
        <v>1412</v>
      </c>
      <c r="E131" s="10" t="s">
        <v>1413</v>
      </c>
      <c r="F131" s="10">
        <v>33.035564867200002</v>
      </c>
      <c r="G131" s="10">
        <v>44.195798244999999</v>
      </c>
      <c r="H131" s="10" t="s">
        <v>170</v>
      </c>
      <c r="I131" s="10" t="s">
        <v>196</v>
      </c>
      <c r="J131" s="10"/>
      <c r="K131" s="11">
        <v>49</v>
      </c>
      <c r="L131" s="11">
        <v>294</v>
      </c>
      <c r="M131" s="11"/>
      <c r="N131" s="11"/>
      <c r="O131" s="11">
        <v>49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>
        <v>49</v>
      </c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>
        <v>49</v>
      </c>
      <c r="AT131" s="11"/>
      <c r="AU131" s="11"/>
      <c r="AV131" s="11"/>
      <c r="AW131" s="20" t="str">
        <f>HYPERLINK("http://www.openstreetmap.org/?mlat=33.0356&amp;mlon=44.1958&amp;zoom=12#map=12/33.0356/44.1958","Maplink1")</f>
        <v>Maplink1</v>
      </c>
      <c r="AX131" s="20" t="str">
        <f>HYPERLINK("https://www.google.iq/maps/search/+33.0356,44.1958/@33.0356,44.1958,14z?hl=en","Maplink2")</f>
        <v>Maplink2</v>
      </c>
      <c r="AY131" s="20" t="str">
        <f>HYPERLINK("http://www.bing.com/maps/?lvl=14&amp;sty=h&amp;cp=33.0356~44.1958&amp;sp=point.33.0356_44.1958","Maplink3")</f>
        <v>Maplink3</v>
      </c>
    </row>
    <row r="132" spans="1:51" x14ac:dyDescent="0.25">
      <c r="A132" s="9">
        <v>29524</v>
      </c>
      <c r="B132" s="10" t="s">
        <v>10</v>
      </c>
      <c r="C132" s="10" t="s">
        <v>195</v>
      </c>
      <c r="D132" s="10" t="s">
        <v>197</v>
      </c>
      <c r="E132" s="10" t="s">
        <v>198</v>
      </c>
      <c r="F132" s="10">
        <v>33.124099999999999</v>
      </c>
      <c r="G132" s="10">
        <v>44.505400000000002</v>
      </c>
      <c r="H132" s="10" t="s">
        <v>170</v>
      </c>
      <c r="I132" s="10" t="s">
        <v>196</v>
      </c>
      <c r="J132" s="10"/>
      <c r="K132" s="11">
        <v>75</v>
      </c>
      <c r="L132" s="11">
        <v>450</v>
      </c>
      <c r="M132" s="11"/>
      <c r="N132" s="11">
        <v>23</v>
      </c>
      <c r="O132" s="11">
        <v>42</v>
      </c>
      <c r="P132" s="11"/>
      <c r="Q132" s="11"/>
      <c r="R132" s="11"/>
      <c r="S132" s="11">
        <v>10</v>
      </c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>
        <v>75</v>
      </c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>
        <v>75</v>
      </c>
      <c r="AT132" s="11"/>
      <c r="AU132" s="11"/>
      <c r="AV132" s="11"/>
      <c r="AW132" s="20" t="str">
        <f>HYPERLINK("http://www.openstreetmap.org/?mlat=33.1241&amp;mlon=44.5054&amp;zoom=12#map=12/33.1241/44.5054","Maplink1")</f>
        <v>Maplink1</v>
      </c>
      <c r="AX132" s="20" t="str">
        <f>HYPERLINK("https://www.google.iq/maps/search/+33.1241,44.5054/@33.1241,44.5054,14z?hl=en","Maplink2")</f>
        <v>Maplink2</v>
      </c>
      <c r="AY132" s="20" t="str">
        <f>HYPERLINK("http://www.bing.com/maps/?lvl=14&amp;sty=h&amp;cp=33.1241~44.5054&amp;sp=point.33.1241_44.5054","Maplink3")</f>
        <v>Maplink3</v>
      </c>
    </row>
    <row r="133" spans="1:51" x14ac:dyDescent="0.25">
      <c r="A133" s="9">
        <v>29527</v>
      </c>
      <c r="B133" s="10" t="s">
        <v>10</v>
      </c>
      <c r="C133" s="10" t="s">
        <v>195</v>
      </c>
      <c r="D133" s="10" t="s">
        <v>1414</v>
      </c>
      <c r="E133" s="10" t="s">
        <v>1415</v>
      </c>
      <c r="F133" s="10">
        <v>33.042396333699998</v>
      </c>
      <c r="G133" s="10">
        <v>44.188075117700002</v>
      </c>
      <c r="H133" s="10" t="s">
        <v>170</v>
      </c>
      <c r="I133" s="10" t="s">
        <v>196</v>
      </c>
      <c r="J133" s="10"/>
      <c r="K133" s="11">
        <v>25</v>
      </c>
      <c r="L133" s="11">
        <v>150</v>
      </c>
      <c r="M133" s="11"/>
      <c r="N133" s="11"/>
      <c r="O133" s="11">
        <v>25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>
        <v>25</v>
      </c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>
        <v>25</v>
      </c>
      <c r="AT133" s="11"/>
      <c r="AU133" s="11"/>
      <c r="AV133" s="11"/>
      <c r="AW133" s="20" t="str">
        <f>HYPERLINK("http://www.openstreetmap.org/?mlat=33.0424&amp;mlon=44.1881&amp;zoom=12#map=12/33.0424/44.1881","Maplink1")</f>
        <v>Maplink1</v>
      </c>
      <c r="AX133" s="20" t="str">
        <f>HYPERLINK("https://www.google.iq/maps/search/+33.0424,44.1881/@33.0424,44.1881,14z?hl=en","Maplink2")</f>
        <v>Maplink2</v>
      </c>
      <c r="AY133" s="20" t="str">
        <f>HYPERLINK("http://www.bing.com/maps/?lvl=14&amp;sty=h&amp;cp=33.0424~44.1881&amp;sp=point.33.0424_44.1881","Maplink3")</f>
        <v>Maplink3</v>
      </c>
    </row>
    <row r="134" spans="1:51" x14ac:dyDescent="0.25">
      <c r="A134" s="9">
        <v>29493</v>
      </c>
      <c r="B134" s="10" t="s">
        <v>10</v>
      </c>
      <c r="C134" s="10" t="s">
        <v>195</v>
      </c>
      <c r="D134" s="10" t="s">
        <v>199</v>
      </c>
      <c r="E134" s="10" t="s">
        <v>200</v>
      </c>
      <c r="F134" s="10">
        <v>33.038465327899999</v>
      </c>
      <c r="G134" s="10">
        <v>44.202811165999996</v>
      </c>
      <c r="H134" s="10" t="s">
        <v>170</v>
      </c>
      <c r="I134" s="10" t="s">
        <v>196</v>
      </c>
      <c r="J134" s="10"/>
      <c r="K134" s="11">
        <v>70</v>
      </c>
      <c r="L134" s="11">
        <v>420</v>
      </c>
      <c r="M134" s="11"/>
      <c r="N134" s="11"/>
      <c r="O134" s="11">
        <v>70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>
        <v>70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>
        <v>70</v>
      </c>
      <c r="AS134" s="11"/>
      <c r="AT134" s="11"/>
      <c r="AU134" s="11"/>
      <c r="AV134" s="11"/>
      <c r="AW134" s="20" t="str">
        <f>HYPERLINK("http://www.openstreetmap.org/?mlat=33.0385&amp;mlon=44.2028&amp;zoom=12#map=12/33.0385/44.2028","Maplink1")</f>
        <v>Maplink1</v>
      </c>
      <c r="AX134" s="20" t="str">
        <f>HYPERLINK("https://www.google.iq/maps/search/+33.0385,44.2028/@33.0385,44.2028,14z?hl=en","Maplink2")</f>
        <v>Maplink2</v>
      </c>
      <c r="AY134" s="20" t="str">
        <f>HYPERLINK("http://www.bing.com/maps/?lvl=14&amp;sty=h&amp;cp=33.0385~44.2028&amp;sp=point.33.0385_44.2028","Maplink3")</f>
        <v>Maplink3</v>
      </c>
    </row>
    <row r="135" spans="1:51" x14ac:dyDescent="0.25">
      <c r="A135" s="9">
        <v>29492</v>
      </c>
      <c r="B135" s="10" t="s">
        <v>10</v>
      </c>
      <c r="C135" s="10" t="s">
        <v>195</v>
      </c>
      <c r="D135" s="10" t="s">
        <v>201</v>
      </c>
      <c r="E135" s="10" t="s">
        <v>202</v>
      </c>
      <c r="F135" s="10">
        <v>33.0303820317</v>
      </c>
      <c r="G135" s="10">
        <v>44.2102544798</v>
      </c>
      <c r="H135" s="10" t="s">
        <v>170</v>
      </c>
      <c r="I135" s="10" t="s">
        <v>196</v>
      </c>
      <c r="J135" s="10"/>
      <c r="K135" s="11">
        <v>33</v>
      </c>
      <c r="L135" s="11">
        <v>198</v>
      </c>
      <c r="M135" s="11"/>
      <c r="N135" s="11"/>
      <c r="O135" s="11">
        <v>33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>
        <v>33</v>
      </c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>
        <v>33</v>
      </c>
      <c r="AT135" s="11"/>
      <c r="AU135" s="11"/>
      <c r="AV135" s="11"/>
      <c r="AW135" s="20" t="str">
        <f>HYPERLINK("http://www.openstreetmap.org/?mlat=33.0304&amp;mlon=44.2103&amp;zoom=12#map=12/33.0304/44.2103","Maplink1")</f>
        <v>Maplink1</v>
      </c>
      <c r="AX135" s="20" t="str">
        <f>HYPERLINK("https://www.google.iq/maps/search/+33.0304,44.2103/@33.0304,44.2103,14z?hl=en","Maplink2")</f>
        <v>Maplink2</v>
      </c>
      <c r="AY135" s="20" t="str">
        <f>HYPERLINK("http://www.bing.com/maps/?lvl=14&amp;sty=h&amp;cp=33.0304~44.2103&amp;sp=point.33.0304_44.2103","Maplink3")</f>
        <v>Maplink3</v>
      </c>
    </row>
    <row r="136" spans="1:51" x14ac:dyDescent="0.25">
      <c r="A136" s="9">
        <v>29491</v>
      </c>
      <c r="B136" s="10" t="s">
        <v>10</v>
      </c>
      <c r="C136" s="10" t="s">
        <v>195</v>
      </c>
      <c r="D136" s="10" t="s">
        <v>203</v>
      </c>
      <c r="E136" s="10" t="s">
        <v>204</v>
      </c>
      <c r="F136" s="10">
        <v>33.0454715877</v>
      </c>
      <c r="G136" s="10">
        <v>44.200152110200001</v>
      </c>
      <c r="H136" s="10" t="s">
        <v>170</v>
      </c>
      <c r="I136" s="10" t="s">
        <v>196</v>
      </c>
      <c r="J136" s="10"/>
      <c r="K136" s="11">
        <v>320</v>
      </c>
      <c r="L136" s="11">
        <v>1920</v>
      </c>
      <c r="M136" s="11"/>
      <c r="N136" s="11">
        <v>20</v>
      </c>
      <c r="O136" s="11">
        <v>200</v>
      </c>
      <c r="P136" s="11"/>
      <c r="Q136" s="11"/>
      <c r="R136" s="11"/>
      <c r="S136" s="11">
        <v>24</v>
      </c>
      <c r="T136" s="11"/>
      <c r="U136" s="11"/>
      <c r="V136" s="11"/>
      <c r="W136" s="11"/>
      <c r="X136" s="11"/>
      <c r="Y136" s="11"/>
      <c r="Z136" s="11"/>
      <c r="AA136" s="11"/>
      <c r="AB136" s="11">
        <v>76</v>
      </c>
      <c r="AC136" s="11"/>
      <c r="AD136" s="11"/>
      <c r="AE136" s="11"/>
      <c r="AF136" s="11">
        <v>320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>
        <v>320</v>
      </c>
      <c r="AT136" s="11"/>
      <c r="AU136" s="11"/>
      <c r="AV136" s="11"/>
      <c r="AW136" s="20" t="str">
        <f>HYPERLINK("http://www.openstreetmap.org/?mlat=33.0455&amp;mlon=44.2002&amp;zoom=12#map=12/33.0455/44.2002","Maplink1")</f>
        <v>Maplink1</v>
      </c>
      <c r="AX136" s="20" t="str">
        <f>HYPERLINK("https://www.google.iq/maps/search/+33.0455,44.2002/@33.0455,44.2002,14z?hl=en","Maplink2")</f>
        <v>Maplink2</v>
      </c>
      <c r="AY136" s="20" t="str">
        <f>HYPERLINK("http://www.bing.com/maps/?lvl=14&amp;sty=h&amp;cp=33.0455~44.2002&amp;sp=point.33.0455_44.2002","Maplink3")</f>
        <v>Maplink3</v>
      </c>
    </row>
    <row r="137" spans="1:51" x14ac:dyDescent="0.25">
      <c r="A137" s="9">
        <v>29490</v>
      </c>
      <c r="B137" s="10" t="s">
        <v>10</v>
      </c>
      <c r="C137" s="10" t="s">
        <v>195</v>
      </c>
      <c r="D137" s="10" t="s">
        <v>205</v>
      </c>
      <c r="E137" s="10" t="s">
        <v>206</v>
      </c>
      <c r="F137" s="10">
        <v>32.9908</v>
      </c>
      <c r="G137" s="10">
        <v>44.176000000000002</v>
      </c>
      <c r="H137" s="10" t="s">
        <v>170</v>
      </c>
      <c r="I137" s="10" t="s">
        <v>196</v>
      </c>
      <c r="J137" s="10"/>
      <c r="K137" s="11">
        <v>400</v>
      </c>
      <c r="L137" s="11">
        <v>2400</v>
      </c>
      <c r="M137" s="11"/>
      <c r="N137" s="11"/>
      <c r="O137" s="11">
        <v>280</v>
      </c>
      <c r="P137" s="11"/>
      <c r="Q137" s="11"/>
      <c r="R137" s="11"/>
      <c r="S137" s="11">
        <v>120</v>
      </c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>
        <v>400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>
        <v>120</v>
      </c>
      <c r="AS137" s="11">
        <v>280</v>
      </c>
      <c r="AT137" s="11"/>
      <c r="AU137" s="11"/>
      <c r="AV137" s="11"/>
      <c r="AW137" s="20" t="str">
        <f>HYPERLINK("http://www.openstreetmap.org/?mlat=32.9908&amp;mlon=44.176&amp;zoom=12#map=12/32.9908/44.176","Maplink1")</f>
        <v>Maplink1</v>
      </c>
      <c r="AX137" s="20" t="str">
        <f>HYPERLINK("https://www.google.iq/maps/search/+32.9908,44.176/@32.9908,44.176,14z?hl=en","Maplink2")</f>
        <v>Maplink2</v>
      </c>
      <c r="AY137" s="20" t="str">
        <f>HYPERLINK("http://www.bing.com/maps/?lvl=14&amp;sty=h&amp;cp=32.9908~44.176&amp;sp=point.32.9908_44.176","Maplink3")</f>
        <v>Maplink3</v>
      </c>
    </row>
    <row r="138" spans="1:51" x14ac:dyDescent="0.25">
      <c r="A138" s="9">
        <v>29528</v>
      </c>
      <c r="B138" s="10" t="s">
        <v>10</v>
      </c>
      <c r="C138" s="10" t="s">
        <v>195</v>
      </c>
      <c r="D138" s="10" t="s">
        <v>1416</v>
      </c>
      <c r="E138" s="10" t="s">
        <v>1417</v>
      </c>
      <c r="F138" s="10">
        <v>33.059735691</v>
      </c>
      <c r="G138" s="10">
        <v>44.231500822100003</v>
      </c>
      <c r="H138" s="10" t="s">
        <v>170</v>
      </c>
      <c r="I138" s="10" t="s">
        <v>196</v>
      </c>
      <c r="J138" s="10"/>
      <c r="K138" s="11">
        <v>32</v>
      </c>
      <c r="L138" s="11">
        <v>192</v>
      </c>
      <c r="M138" s="11"/>
      <c r="N138" s="11"/>
      <c r="O138" s="11">
        <v>32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>
        <v>32</v>
      </c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>
        <v>32</v>
      </c>
      <c r="AT138" s="11"/>
      <c r="AU138" s="11"/>
      <c r="AV138" s="11"/>
      <c r="AW138" s="20" t="str">
        <f>HYPERLINK("http://www.openstreetmap.org/?mlat=33.0597&amp;mlon=44.2315&amp;zoom=12#map=12/33.0597/44.2315","Maplink1")</f>
        <v>Maplink1</v>
      </c>
      <c r="AX138" s="20" t="str">
        <f>HYPERLINK("https://www.google.iq/maps/search/+33.0597,44.2315/@33.0597,44.2315,14z?hl=en","Maplink2")</f>
        <v>Maplink2</v>
      </c>
      <c r="AY138" s="20" t="str">
        <f>HYPERLINK("http://www.bing.com/maps/?lvl=14&amp;sty=h&amp;cp=33.0597~44.2315&amp;sp=point.33.0597_44.2315","Maplink3")</f>
        <v>Maplink3</v>
      </c>
    </row>
    <row r="139" spans="1:51" x14ac:dyDescent="0.25">
      <c r="A139" s="9">
        <v>29523</v>
      </c>
      <c r="B139" s="10" t="s">
        <v>10</v>
      </c>
      <c r="C139" s="10" t="s">
        <v>195</v>
      </c>
      <c r="D139" s="10" t="s">
        <v>1418</v>
      </c>
      <c r="E139" s="10" t="s">
        <v>1419</v>
      </c>
      <c r="F139" s="10">
        <v>33.064230000000002</v>
      </c>
      <c r="G139" s="10">
        <v>44.233170000000001</v>
      </c>
      <c r="H139" s="10" t="s">
        <v>170</v>
      </c>
      <c r="I139" s="10" t="s">
        <v>196</v>
      </c>
      <c r="J139" s="10"/>
      <c r="K139" s="11">
        <v>1050</v>
      </c>
      <c r="L139" s="11">
        <v>6300</v>
      </c>
      <c r="M139" s="11"/>
      <c r="N139" s="11">
        <v>51</v>
      </c>
      <c r="O139" s="11">
        <v>900</v>
      </c>
      <c r="P139" s="11"/>
      <c r="Q139" s="11"/>
      <c r="R139" s="11"/>
      <c r="S139" s="11">
        <v>99</v>
      </c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>
        <v>1050</v>
      </c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>
        <v>1050</v>
      </c>
      <c r="AT139" s="11"/>
      <c r="AU139" s="11"/>
      <c r="AV139" s="11"/>
      <c r="AW139" s="20" t="str">
        <f>HYPERLINK("http://www.openstreetmap.org/?mlat=33.0642&amp;mlon=44.2332&amp;zoom=12#map=12/33.0642/44.2332","Maplink1")</f>
        <v>Maplink1</v>
      </c>
      <c r="AX139" s="20" t="str">
        <f>HYPERLINK("https://www.google.iq/maps/search/+33.0642,44.2332/@33.0642,44.2332,14z?hl=en","Maplink2")</f>
        <v>Maplink2</v>
      </c>
      <c r="AY139" s="20" t="str">
        <f>HYPERLINK("http://www.bing.com/maps/?lvl=14&amp;sty=h&amp;cp=33.0642~44.2332&amp;sp=point.33.0642_44.2332","Maplink3")</f>
        <v>Maplink3</v>
      </c>
    </row>
    <row r="140" spans="1:51" x14ac:dyDescent="0.25">
      <c r="A140" s="9">
        <v>25153</v>
      </c>
      <c r="B140" s="10" t="s">
        <v>10</v>
      </c>
      <c r="C140" s="10" t="s">
        <v>195</v>
      </c>
      <c r="D140" s="10" t="s">
        <v>1024</v>
      </c>
      <c r="E140" s="10" t="s">
        <v>1256</v>
      </c>
      <c r="F140" s="10">
        <v>32.944312013699999</v>
      </c>
      <c r="G140" s="10">
        <v>44.355779956299997</v>
      </c>
      <c r="H140" s="10" t="s">
        <v>170</v>
      </c>
      <c r="I140" s="10" t="s">
        <v>196</v>
      </c>
      <c r="J140" s="10"/>
      <c r="K140" s="11">
        <v>22</v>
      </c>
      <c r="L140" s="11">
        <v>132</v>
      </c>
      <c r="M140" s="11"/>
      <c r="N140" s="11"/>
      <c r="O140" s="11">
        <v>22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>
        <v>22</v>
      </c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>
        <v>22</v>
      </c>
      <c r="AT140" s="11"/>
      <c r="AU140" s="11"/>
      <c r="AV140" s="11"/>
      <c r="AW140" s="20" t="str">
        <f>HYPERLINK("http://www.openstreetmap.org/?mlat=32.9443&amp;mlon=44.3558&amp;zoom=12#map=12/32.9443/44.3558","Maplink1")</f>
        <v>Maplink1</v>
      </c>
      <c r="AX140" s="20" t="str">
        <f>HYPERLINK("https://www.google.iq/maps/search/+32.9443,44.3558/@32.9443,44.3558,14z?hl=en","Maplink2")</f>
        <v>Maplink2</v>
      </c>
      <c r="AY140" s="20" t="str">
        <f>HYPERLINK("http://www.bing.com/maps/?lvl=14&amp;sty=h&amp;cp=32.9443~44.3558&amp;sp=point.32.9443_44.3558","Maplink3")</f>
        <v>Maplink3</v>
      </c>
    </row>
    <row r="141" spans="1:51" x14ac:dyDescent="0.25">
      <c r="A141" s="9">
        <v>29489</v>
      </c>
      <c r="B141" s="10" t="s">
        <v>10</v>
      </c>
      <c r="C141" s="10" t="s">
        <v>195</v>
      </c>
      <c r="D141" s="10" t="s">
        <v>770</v>
      </c>
      <c r="E141" s="10" t="s">
        <v>207</v>
      </c>
      <c r="F141" s="10">
        <v>32.947200000000002</v>
      </c>
      <c r="G141" s="10">
        <v>44.386899999999997</v>
      </c>
      <c r="H141" s="10" t="s">
        <v>170</v>
      </c>
      <c r="I141" s="10" t="s">
        <v>196</v>
      </c>
      <c r="J141" s="10"/>
      <c r="K141" s="11">
        <v>36</v>
      </c>
      <c r="L141" s="11">
        <v>216</v>
      </c>
      <c r="M141" s="11"/>
      <c r="N141" s="11"/>
      <c r="O141" s="11">
        <v>36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>
        <v>36</v>
      </c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>
        <v>36</v>
      </c>
      <c r="AT141" s="11"/>
      <c r="AU141" s="11"/>
      <c r="AV141" s="11"/>
      <c r="AW141" s="20" t="str">
        <f>HYPERLINK("http://www.openstreetmap.org/?mlat=32.9472&amp;mlon=44.3869&amp;zoom=12#map=12/32.9472/44.3869","Maplink1")</f>
        <v>Maplink1</v>
      </c>
      <c r="AX141" s="20" t="str">
        <f>HYPERLINK("https://www.google.iq/maps/search/+32.9472,44.3869/@32.9472,44.3869,14z?hl=en","Maplink2")</f>
        <v>Maplink2</v>
      </c>
      <c r="AY141" s="20" t="str">
        <f>HYPERLINK("http://www.bing.com/maps/?lvl=14&amp;sty=h&amp;cp=32.9472~44.3869&amp;sp=point.32.9472_44.3869","Maplink3")</f>
        <v>Maplink3</v>
      </c>
    </row>
    <row r="142" spans="1:51" x14ac:dyDescent="0.25">
      <c r="A142" s="9">
        <v>29487</v>
      </c>
      <c r="B142" s="10" t="s">
        <v>10</v>
      </c>
      <c r="C142" s="10" t="s">
        <v>195</v>
      </c>
      <c r="D142" s="10" t="s">
        <v>1257</v>
      </c>
      <c r="E142" s="10" t="s">
        <v>1258</v>
      </c>
      <c r="F142" s="10">
        <v>33.020099999999999</v>
      </c>
      <c r="G142" s="10">
        <v>44.381100000000004</v>
      </c>
      <c r="H142" s="10" t="s">
        <v>170</v>
      </c>
      <c r="I142" s="10" t="s">
        <v>196</v>
      </c>
      <c r="J142" s="10"/>
      <c r="K142" s="11">
        <v>86</v>
      </c>
      <c r="L142" s="11">
        <v>516</v>
      </c>
      <c r="M142" s="11"/>
      <c r="N142" s="11"/>
      <c r="O142" s="11">
        <v>86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>
        <v>86</v>
      </c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>
        <v>86</v>
      </c>
      <c r="AT142" s="11"/>
      <c r="AU142" s="11"/>
      <c r="AV142" s="11"/>
      <c r="AW142" s="20" t="str">
        <f>HYPERLINK("http://www.openstreetmap.org/?mlat=33.0201&amp;mlon=44.3811&amp;zoom=12#map=12/33.0201/44.3811","Maplink1")</f>
        <v>Maplink1</v>
      </c>
      <c r="AX142" s="20" t="str">
        <f>HYPERLINK("https://www.google.iq/maps/search/+33.0201,44.3811/@33.0201,44.3811,14z?hl=en","Maplink2")</f>
        <v>Maplink2</v>
      </c>
      <c r="AY142" s="20" t="str">
        <f>HYPERLINK("http://www.bing.com/maps/?lvl=14&amp;sty=h&amp;cp=33.0201~44.3811&amp;sp=point.33.0201_44.3811","Maplink3")</f>
        <v>Maplink3</v>
      </c>
    </row>
    <row r="143" spans="1:51" x14ac:dyDescent="0.25">
      <c r="A143" s="9">
        <v>29488</v>
      </c>
      <c r="B143" s="10" t="s">
        <v>10</v>
      </c>
      <c r="C143" s="10" t="s">
        <v>195</v>
      </c>
      <c r="D143" s="10" t="s">
        <v>1259</v>
      </c>
      <c r="E143" s="10" t="s">
        <v>1260</v>
      </c>
      <c r="F143" s="10">
        <v>33.015099999999997</v>
      </c>
      <c r="G143" s="10">
        <v>44.380800000000001</v>
      </c>
      <c r="H143" s="10" t="s">
        <v>170</v>
      </c>
      <c r="I143" s="10" t="s">
        <v>196</v>
      </c>
      <c r="J143" s="10"/>
      <c r="K143" s="11">
        <v>100</v>
      </c>
      <c r="L143" s="11">
        <v>600</v>
      </c>
      <c r="M143" s="11"/>
      <c r="N143" s="11"/>
      <c r="O143" s="11">
        <v>100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>
        <v>100</v>
      </c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>
        <v>100</v>
      </c>
      <c r="AT143" s="11"/>
      <c r="AU143" s="11"/>
      <c r="AV143" s="11"/>
      <c r="AW143" s="20" t="str">
        <f>HYPERLINK("http://www.openstreetmap.org/?mlat=33.0151&amp;mlon=44.3808&amp;zoom=12#map=12/33.0151/44.3808","Maplink1")</f>
        <v>Maplink1</v>
      </c>
      <c r="AX143" s="20" t="str">
        <f>HYPERLINK("https://www.google.iq/maps/search/+33.0151,44.3808/@33.0151,44.3808,14z?hl=en","Maplink2")</f>
        <v>Maplink2</v>
      </c>
      <c r="AY143" s="20" t="str">
        <f>HYPERLINK("http://www.bing.com/maps/?lvl=14&amp;sty=h&amp;cp=33.0151~44.3808&amp;sp=point.33.0151_44.3808","Maplink3")</f>
        <v>Maplink3</v>
      </c>
    </row>
    <row r="144" spans="1:51" x14ac:dyDescent="0.25">
      <c r="A144" s="9">
        <v>7685</v>
      </c>
      <c r="B144" s="10" t="s">
        <v>10</v>
      </c>
      <c r="C144" s="10" t="s">
        <v>195</v>
      </c>
      <c r="D144" s="10" t="s">
        <v>1261</v>
      </c>
      <c r="E144" s="10" t="s">
        <v>1262</v>
      </c>
      <c r="F144" s="10">
        <v>32.9756</v>
      </c>
      <c r="G144" s="10">
        <v>44.416400000000003</v>
      </c>
      <c r="H144" s="10" t="s">
        <v>170</v>
      </c>
      <c r="I144" s="10" t="s">
        <v>196</v>
      </c>
      <c r="J144" s="10" t="s">
        <v>208</v>
      </c>
      <c r="K144" s="11">
        <v>45</v>
      </c>
      <c r="L144" s="11">
        <v>270</v>
      </c>
      <c r="M144" s="11"/>
      <c r="N144" s="11"/>
      <c r="O144" s="11">
        <v>45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>
        <v>45</v>
      </c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>
        <v>45</v>
      </c>
      <c r="AS144" s="11"/>
      <c r="AT144" s="11"/>
      <c r="AU144" s="11"/>
      <c r="AV144" s="11"/>
      <c r="AW144" s="20" t="str">
        <f>HYPERLINK("http://www.openstreetmap.org/?mlat=32.9756&amp;mlon=44.4164&amp;zoom=12#map=12/32.9756/44.4164","Maplink1")</f>
        <v>Maplink1</v>
      </c>
      <c r="AX144" s="20" t="str">
        <f>HYPERLINK("https://www.google.iq/maps/search/+32.9756,44.4164/@32.9756,44.4164,14z?hl=en","Maplink2")</f>
        <v>Maplink2</v>
      </c>
      <c r="AY144" s="20" t="str">
        <f>HYPERLINK("http://www.bing.com/maps/?lvl=14&amp;sty=h&amp;cp=32.9756~44.4164&amp;sp=point.32.9756_44.4164","Maplink3")</f>
        <v>Maplink3</v>
      </c>
    </row>
    <row r="145" spans="1:51" x14ac:dyDescent="0.25">
      <c r="A145" s="9">
        <v>7684</v>
      </c>
      <c r="B145" s="10" t="s">
        <v>10</v>
      </c>
      <c r="C145" s="10" t="s">
        <v>195</v>
      </c>
      <c r="D145" s="10" t="s">
        <v>1263</v>
      </c>
      <c r="E145" s="10" t="s">
        <v>896</v>
      </c>
      <c r="F145" s="10">
        <v>32.9876</v>
      </c>
      <c r="G145" s="10">
        <v>44.396799999999999</v>
      </c>
      <c r="H145" s="10" t="s">
        <v>170</v>
      </c>
      <c r="I145" s="10" t="s">
        <v>196</v>
      </c>
      <c r="J145" s="10" t="s">
        <v>209</v>
      </c>
      <c r="K145" s="11">
        <v>33</v>
      </c>
      <c r="L145" s="11">
        <v>198</v>
      </c>
      <c r="M145" s="11"/>
      <c r="N145" s="11"/>
      <c r="O145" s="11">
        <v>33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>
        <v>33</v>
      </c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>
        <v>33</v>
      </c>
      <c r="AS145" s="11"/>
      <c r="AT145" s="11"/>
      <c r="AU145" s="11"/>
      <c r="AV145" s="11"/>
      <c r="AW145" s="20" t="str">
        <f>HYPERLINK("http://www.openstreetmap.org/?mlat=32.9876&amp;mlon=44.3968&amp;zoom=12#map=12/32.9876/44.3968","Maplink1")</f>
        <v>Maplink1</v>
      </c>
      <c r="AX145" s="20" t="str">
        <f>HYPERLINK("https://www.google.iq/maps/search/+32.9876,44.3968/@32.9876,44.3968,14z?hl=en","Maplink2")</f>
        <v>Maplink2</v>
      </c>
      <c r="AY145" s="20" t="str">
        <f>HYPERLINK("http://www.bing.com/maps/?lvl=14&amp;sty=h&amp;cp=32.9876~44.3968&amp;sp=point.32.9876_44.3968","Maplink3")</f>
        <v>Maplink3</v>
      </c>
    </row>
    <row r="146" spans="1:51" x14ac:dyDescent="0.25">
      <c r="A146" s="9">
        <v>29526</v>
      </c>
      <c r="B146" s="10" t="s">
        <v>10</v>
      </c>
      <c r="C146" s="10" t="s">
        <v>195</v>
      </c>
      <c r="D146" s="10" t="s">
        <v>210</v>
      </c>
      <c r="E146" s="10" t="s">
        <v>1420</v>
      </c>
      <c r="F146" s="10">
        <v>33.027062202899998</v>
      </c>
      <c r="G146" s="10">
        <v>44.219362412099997</v>
      </c>
      <c r="H146" s="10" t="s">
        <v>170</v>
      </c>
      <c r="I146" s="10" t="s">
        <v>196</v>
      </c>
      <c r="J146" s="10"/>
      <c r="K146" s="11">
        <v>150</v>
      </c>
      <c r="L146" s="11">
        <v>900</v>
      </c>
      <c r="M146" s="11"/>
      <c r="N146" s="11">
        <v>44</v>
      </c>
      <c r="O146" s="11">
        <v>98</v>
      </c>
      <c r="P146" s="11"/>
      <c r="Q146" s="11"/>
      <c r="R146" s="11"/>
      <c r="S146" s="11">
        <v>8</v>
      </c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>
        <v>150</v>
      </c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>
        <v>48</v>
      </c>
      <c r="AS146" s="11">
        <v>102</v>
      </c>
      <c r="AT146" s="11"/>
      <c r="AU146" s="11"/>
      <c r="AV146" s="11"/>
      <c r="AW146" s="20" t="str">
        <f>HYPERLINK("http://www.openstreetmap.org/?mlat=33.0271&amp;mlon=44.2194&amp;zoom=12#map=12/33.0271/44.2194","Maplink1")</f>
        <v>Maplink1</v>
      </c>
      <c r="AX146" s="20" t="str">
        <f>HYPERLINK("https://www.google.iq/maps/search/+33.0271,44.2194/@33.0271,44.2194,14z?hl=en","Maplink2")</f>
        <v>Maplink2</v>
      </c>
      <c r="AY146" s="20" t="str">
        <f>HYPERLINK("http://www.bing.com/maps/?lvl=14&amp;sty=h&amp;cp=33.0271~44.2194&amp;sp=point.33.0271_44.2194","Maplink3")</f>
        <v>Maplink3</v>
      </c>
    </row>
    <row r="147" spans="1:51" x14ac:dyDescent="0.25">
      <c r="A147" s="9">
        <v>25658</v>
      </c>
      <c r="B147" s="10" t="s">
        <v>13</v>
      </c>
      <c r="C147" s="10" t="s">
        <v>211</v>
      </c>
      <c r="D147" s="10" t="s">
        <v>1025</v>
      </c>
      <c r="E147" s="10" t="s">
        <v>245</v>
      </c>
      <c r="F147" s="10">
        <v>34.0657928539</v>
      </c>
      <c r="G147" s="10">
        <v>44.870625911300003</v>
      </c>
      <c r="H147" s="10" t="s">
        <v>213</v>
      </c>
      <c r="I147" s="10" t="s">
        <v>214</v>
      </c>
      <c r="J147" s="10"/>
      <c r="K147" s="11">
        <v>180</v>
      </c>
      <c r="L147" s="11">
        <v>1080</v>
      </c>
      <c r="M147" s="11"/>
      <c r="N147" s="11"/>
      <c r="O147" s="11"/>
      <c r="P147" s="11"/>
      <c r="Q147" s="11"/>
      <c r="R147" s="11">
        <v>125</v>
      </c>
      <c r="S147" s="11"/>
      <c r="T147" s="11"/>
      <c r="U147" s="11">
        <v>25</v>
      </c>
      <c r="V147" s="11"/>
      <c r="W147" s="11"/>
      <c r="X147" s="11"/>
      <c r="Y147" s="11"/>
      <c r="Z147" s="11"/>
      <c r="AA147" s="11"/>
      <c r="AB147" s="11">
        <v>30</v>
      </c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>
        <v>180</v>
      </c>
      <c r="AO147" s="11"/>
      <c r="AP147" s="11"/>
      <c r="AQ147" s="11"/>
      <c r="AR147" s="11"/>
      <c r="AS147" s="11">
        <v>180</v>
      </c>
      <c r="AT147" s="11"/>
      <c r="AU147" s="11"/>
      <c r="AV147" s="11"/>
      <c r="AW147" s="20" t="str">
        <f>HYPERLINK("http://www.openstreetmap.org/?mlat=34.0658&amp;mlon=44.8706&amp;zoom=12#map=12/34.0658/44.8706","Maplink1")</f>
        <v>Maplink1</v>
      </c>
      <c r="AX147" s="20" t="str">
        <f>HYPERLINK("https://www.google.iq/maps/search/+34.0658,44.8706/@34.0658,44.8706,14z?hl=en","Maplink2")</f>
        <v>Maplink2</v>
      </c>
      <c r="AY147" s="20" t="str">
        <f>HYPERLINK("http://www.bing.com/maps/?lvl=14&amp;sty=h&amp;cp=34.0658~44.8706&amp;sp=point.34.0658_44.8706","Maplink3")</f>
        <v>Maplink3</v>
      </c>
    </row>
    <row r="148" spans="1:51" x14ac:dyDescent="0.25">
      <c r="A148" s="9">
        <v>25662</v>
      </c>
      <c r="B148" s="10" t="s">
        <v>13</v>
      </c>
      <c r="C148" s="10" t="s">
        <v>211</v>
      </c>
      <c r="D148" s="10" t="s">
        <v>1026</v>
      </c>
      <c r="E148" s="10" t="s">
        <v>246</v>
      </c>
      <c r="F148" s="10">
        <v>34.078908398300001</v>
      </c>
      <c r="G148" s="10">
        <v>44.855921834199997</v>
      </c>
      <c r="H148" s="10" t="s">
        <v>213</v>
      </c>
      <c r="I148" s="10" t="s">
        <v>214</v>
      </c>
      <c r="J148" s="10"/>
      <c r="K148" s="11">
        <v>318</v>
      </c>
      <c r="L148" s="11">
        <v>1908</v>
      </c>
      <c r="M148" s="11"/>
      <c r="N148" s="11"/>
      <c r="O148" s="11"/>
      <c r="P148" s="11"/>
      <c r="Q148" s="11"/>
      <c r="R148" s="11">
        <v>230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1">
        <v>88</v>
      </c>
      <c r="AC148" s="11"/>
      <c r="AD148" s="11"/>
      <c r="AE148" s="11"/>
      <c r="AF148" s="11">
        <v>171</v>
      </c>
      <c r="AG148" s="11"/>
      <c r="AH148" s="11"/>
      <c r="AI148" s="11"/>
      <c r="AJ148" s="11"/>
      <c r="AK148" s="11"/>
      <c r="AL148" s="11"/>
      <c r="AM148" s="11"/>
      <c r="AN148" s="11">
        <v>147</v>
      </c>
      <c r="AO148" s="11"/>
      <c r="AP148" s="11"/>
      <c r="AQ148" s="11">
        <v>318</v>
      </c>
      <c r="AR148" s="11"/>
      <c r="AS148" s="11"/>
      <c r="AT148" s="11"/>
      <c r="AU148" s="11"/>
      <c r="AV148" s="11"/>
      <c r="AW148" s="20" t="str">
        <f>HYPERLINK("http://www.openstreetmap.org/?mlat=34.0789&amp;mlon=44.8559&amp;zoom=12#map=12/34.0789/44.8559","Maplink1")</f>
        <v>Maplink1</v>
      </c>
      <c r="AX148" s="20" t="str">
        <f>HYPERLINK("https://www.google.iq/maps/search/+34.0789,44.8559/@34.0789,44.8559,14z?hl=en","Maplink2")</f>
        <v>Maplink2</v>
      </c>
      <c r="AY148" s="20" t="str">
        <f>HYPERLINK("http://www.bing.com/maps/?lvl=14&amp;sty=h&amp;cp=34.0789~44.8559&amp;sp=point.34.0789_44.8559","Maplink3")</f>
        <v>Maplink3</v>
      </c>
    </row>
    <row r="149" spans="1:51" x14ac:dyDescent="0.25">
      <c r="A149" s="9">
        <v>25032</v>
      </c>
      <c r="B149" s="10" t="s">
        <v>13</v>
      </c>
      <c r="C149" s="10" t="s">
        <v>211</v>
      </c>
      <c r="D149" s="10" t="s">
        <v>1027</v>
      </c>
      <c r="E149" s="10" t="s">
        <v>108</v>
      </c>
      <c r="F149" s="10">
        <v>34.0682430938</v>
      </c>
      <c r="G149" s="10">
        <v>44.863518979399998</v>
      </c>
      <c r="H149" s="10" t="s">
        <v>213</v>
      </c>
      <c r="I149" s="10" t="s">
        <v>214</v>
      </c>
      <c r="J149" s="10"/>
      <c r="K149" s="11">
        <v>292</v>
      </c>
      <c r="L149" s="11">
        <v>1752</v>
      </c>
      <c r="M149" s="11"/>
      <c r="N149" s="11"/>
      <c r="O149" s="11"/>
      <c r="P149" s="11"/>
      <c r="Q149" s="11"/>
      <c r="R149" s="11">
        <v>235</v>
      </c>
      <c r="S149" s="11"/>
      <c r="T149" s="11"/>
      <c r="U149" s="11">
        <v>57</v>
      </c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>
        <v>292</v>
      </c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>
        <v>292</v>
      </c>
      <c r="AR149" s="11"/>
      <c r="AS149" s="11"/>
      <c r="AT149" s="11"/>
      <c r="AU149" s="11"/>
      <c r="AV149" s="11"/>
      <c r="AW149" s="20" t="str">
        <f>HYPERLINK("http://www.openstreetmap.org/?mlat=34.0682&amp;mlon=44.8635&amp;zoom=12#map=12/34.0682/44.8635","Maplink1")</f>
        <v>Maplink1</v>
      </c>
      <c r="AX149" s="20" t="str">
        <f>HYPERLINK("https://www.google.iq/maps/search/+34.0682,44.8635/@34.0682,44.8635,14z?hl=en","Maplink2")</f>
        <v>Maplink2</v>
      </c>
      <c r="AY149" s="20" t="str">
        <f>HYPERLINK("http://www.bing.com/maps/?lvl=14&amp;sty=h&amp;cp=34.0682~44.8635&amp;sp=point.34.0682_44.8635","Maplink3")</f>
        <v>Maplink3</v>
      </c>
    </row>
    <row r="150" spans="1:51" x14ac:dyDescent="0.25">
      <c r="A150" s="9">
        <v>27182</v>
      </c>
      <c r="B150" s="10" t="s">
        <v>13</v>
      </c>
      <c r="C150" s="10" t="s">
        <v>211</v>
      </c>
      <c r="D150" s="10" t="s">
        <v>215</v>
      </c>
      <c r="E150" s="10" t="s">
        <v>216</v>
      </c>
      <c r="F150" s="10">
        <v>34.216153636000001</v>
      </c>
      <c r="G150" s="10">
        <v>44.512386356500002</v>
      </c>
      <c r="H150" s="10" t="s">
        <v>213</v>
      </c>
      <c r="I150" s="10" t="s">
        <v>214</v>
      </c>
      <c r="J150" s="10"/>
      <c r="K150" s="11">
        <v>33</v>
      </c>
      <c r="L150" s="11">
        <v>198</v>
      </c>
      <c r="M150" s="11"/>
      <c r="N150" s="11"/>
      <c r="O150" s="11"/>
      <c r="P150" s="11"/>
      <c r="Q150" s="11"/>
      <c r="R150" s="11"/>
      <c r="S150" s="11"/>
      <c r="T150" s="11"/>
      <c r="U150" s="11">
        <v>33</v>
      </c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>
        <v>33</v>
      </c>
      <c r="AH150" s="11"/>
      <c r="AI150" s="11"/>
      <c r="AJ150" s="11"/>
      <c r="AK150" s="11"/>
      <c r="AL150" s="11"/>
      <c r="AM150" s="11"/>
      <c r="AN150" s="11"/>
      <c r="AO150" s="11"/>
      <c r="AP150" s="11"/>
      <c r="AQ150" s="11">
        <v>33</v>
      </c>
      <c r="AR150" s="11"/>
      <c r="AS150" s="11"/>
      <c r="AT150" s="11"/>
      <c r="AU150" s="11"/>
      <c r="AV150" s="11"/>
      <c r="AW150" s="20" t="str">
        <f>HYPERLINK("http://www.openstreetmap.org/?mlat=34.2162&amp;mlon=44.5124&amp;zoom=12#map=12/34.2162/44.5124","Maplink1")</f>
        <v>Maplink1</v>
      </c>
      <c r="AX150" s="20" t="str">
        <f>HYPERLINK("https://www.google.iq/maps/search/+34.2162,44.5124/@34.2162,44.5124,14z?hl=en","Maplink2")</f>
        <v>Maplink2</v>
      </c>
      <c r="AY150" s="20" t="str">
        <f>HYPERLINK("http://www.bing.com/maps/?lvl=14&amp;sty=h&amp;cp=34.2162~44.5124&amp;sp=point.34.2162_44.5124","Maplink3")</f>
        <v>Maplink3</v>
      </c>
    </row>
    <row r="151" spans="1:51" x14ac:dyDescent="0.25">
      <c r="A151" s="9">
        <v>25659</v>
      </c>
      <c r="B151" s="10" t="s">
        <v>13</v>
      </c>
      <c r="C151" s="10" t="s">
        <v>211</v>
      </c>
      <c r="D151" s="10" t="s">
        <v>1028</v>
      </c>
      <c r="E151" s="10" t="s">
        <v>279</v>
      </c>
      <c r="F151" s="10">
        <v>34.091725642599997</v>
      </c>
      <c r="G151" s="10">
        <v>44.936574357300003</v>
      </c>
      <c r="H151" s="10" t="s">
        <v>213</v>
      </c>
      <c r="I151" s="10" t="s">
        <v>214</v>
      </c>
      <c r="J151" s="10"/>
      <c r="K151" s="11">
        <v>47</v>
      </c>
      <c r="L151" s="11">
        <v>282</v>
      </c>
      <c r="M151" s="11"/>
      <c r="N151" s="11"/>
      <c r="O151" s="11"/>
      <c r="P151" s="11"/>
      <c r="Q151" s="11"/>
      <c r="R151" s="11">
        <v>32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>
        <v>15</v>
      </c>
      <c r="AC151" s="11"/>
      <c r="AD151" s="11"/>
      <c r="AE151" s="11"/>
      <c r="AF151" s="11">
        <v>15</v>
      </c>
      <c r="AG151" s="11"/>
      <c r="AH151" s="11"/>
      <c r="AI151" s="11"/>
      <c r="AJ151" s="11"/>
      <c r="AK151" s="11"/>
      <c r="AL151" s="11"/>
      <c r="AM151" s="11"/>
      <c r="AN151" s="11">
        <v>32</v>
      </c>
      <c r="AO151" s="11"/>
      <c r="AP151" s="11"/>
      <c r="AQ151" s="11"/>
      <c r="AR151" s="11"/>
      <c r="AS151" s="11">
        <v>47</v>
      </c>
      <c r="AT151" s="11"/>
      <c r="AU151" s="11"/>
      <c r="AV151" s="11"/>
      <c r="AW151" s="20" t="str">
        <f>HYPERLINK("http://www.openstreetmap.org/?mlat=34.0917&amp;mlon=44.9366&amp;zoom=12#map=12/34.0917/44.9366","Maplink1")</f>
        <v>Maplink1</v>
      </c>
      <c r="AX151" s="20" t="str">
        <f>HYPERLINK("https://www.google.iq/maps/search/+34.0917,44.9366/@34.0917,44.9366,14z?hl=en","Maplink2")</f>
        <v>Maplink2</v>
      </c>
      <c r="AY151" s="20" t="str">
        <f>HYPERLINK("http://www.bing.com/maps/?lvl=14&amp;sty=h&amp;cp=34.0917~44.9366&amp;sp=point.34.0917_44.9366","Maplink3")</f>
        <v>Maplink3</v>
      </c>
    </row>
    <row r="152" spans="1:51" x14ac:dyDescent="0.25">
      <c r="A152" s="9">
        <v>27176</v>
      </c>
      <c r="B152" s="10" t="s">
        <v>13</v>
      </c>
      <c r="C152" s="10" t="s">
        <v>211</v>
      </c>
      <c r="D152" s="10" t="s">
        <v>218</v>
      </c>
      <c r="E152" s="10" t="s">
        <v>219</v>
      </c>
      <c r="F152" s="10">
        <v>34.012702011800002</v>
      </c>
      <c r="G152" s="10">
        <v>44.309891052899999</v>
      </c>
      <c r="H152" s="10" t="s">
        <v>213</v>
      </c>
      <c r="I152" s="10" t="s">
        <v>214</v>
      </c>
      <c r="J152" s="10"/>
      <c r="K152" s="11">
        <v>70</v>
      </c>
      <c r="L152" s="11">
        <v>420</v>
      </c>
      <c r="M152" s="11"/>
      <c r="N152" s="11"/>
      <c r="O152" s="11"/>
      <c r="P152" s="11"/>
      <c r="Q152" s="11"/>
      <c r="R152" s="11"/>
      <c r="S152" s="11"/>
      <c r="T152" s="11"/>
      <c r="U152" s="11">
        <v>70</v>
      </c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>
        <v>70</v>
      </c>
      <c r="AH152" s="11"/>
      <c r="AI152" s="11"/>
      <c r="AJ152" s="11"/>
      <c r="AK152" s="11"/>
      <c r="AL152" s="11"/>
      <c r="AM152" s="11"/>
      <c r="AN152" s="11"/>
      <c r="AO152" s="11"/>
      <c r="AP152" s="11"/>
      <c r="AQ152" s="11">
        <v>70</v>
      </c>
      <c r="AR152" s="11"/>
      <c r="AS152" s="11"/>
      <c r="AT152" s="11"/>
      <c r="AU152" s="11"/>
      <c r="AV152" s="11"/>
      <c r="AW152" s="20" t="str">
        <f>HYPERLINK("http://www.openstreetmap.org/?mlat=34.0127&amp;mlon=44.3099&amp;zoom=12#map=12/34.0127/44.3099","Maplink1")</f>
        <v>Maplink1</v>
      </c>
      <c r="AX152" s="20" t="str">
        <f>HYPERLINK("https://www.google.iq/maps/search/+34.0127,44.3099/@34.0127,44.3099,14z?hl=en","Maplink2")</f>
        <v>Maplink2</v>
      </c>
      <c r="AY152" s="20" t="str">
        <f>HYPERLINK("http://www.bing.com/maps/?lvl=14&amp;sty=h&amp;cp=34.0127~44.3099&amp;sp=point.34.0127_44.3099","Maplink3")</f>
        <v>Maplink3</v>
      </c>
    </row>
    <row r="153" spans="1:51" x14ac:dyDescent="0.25">
      <c r="A153" s="9">
        <v>26075</v>
      </c>
      <c r="B153" s="10" t="s">
        <v>13</v>
      </c>
      <c r="C153" s="10" t="s">
        <v>211</v>
      </c>
      <c r="D153" s="10" t="s">
        <v>1029</v>
      </c>
      <c r="E153" s="10" t="s">
        <v>248</v>
      </c>
      <c r="F153" s="10">
        <v>34.064443390900003</v>
      </c>
      <c r="G153" s="10">
        <v>44.896874122</v>
      </c>
      <c r="H153" s="10" t="s">
        <v>213</v>
      </c>
      <c r="I153" s="10" t="s">
        <v>214</v>
      </c>
      <c r="J153" s="10"/>
      <c r="K153" s="11">
        <v>200</v>
      </c>
      <c r="L153" s="11">
        <v>1200</v>
      </c>
      <c r="M153" s="11"/>
      <c r="N153" s="11"/>
      <c r="O153" s="11"/>
      <c r="P153" s="11"/>
      <c r="Q153" s="11"/>
      <c r="R153" s="11">
        <v>200</v>
      </c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>
        <v>55</v>
      </c>
      <c r="AG153" s="11"/>
      <c r="AH153" s="11"/>
      <c r="AI153" s="11"/>
      <c r="AJ153" s="11"/>
      <c r="AK153" s="11"/>
      <c r="AL153" s="11"/>
      <c r="AM153" s="11"/>
      <c r="AN153" s="11">
        <v>145</v>
      </c>
      <c r="AO153" s="11"/>
      <c r="AP153" s="11"/>
      <c r="AQ153" s="11">
        <v>200</v>
      </c>
      <c r="AR153" s="11"/>
      <c r="AS153" s="11"/>
      <c r="AT153" s="11"/>
      <c r="AU153" s="11"/>
      <c r="AV153" s="11"/>
      <c r="AW153" s="20" t="str">
        <f>HYPERLINK("http://www.openstreetmap.org/?mlat=34.0644&amp;mlon=44.8969&amp;zoom=12#map=12/34.0644/44.8969","Maplink1")</f>
        <v>Maplink1</v>
      </c>
      <c r="AX153" s="20" t="str">
        <f>HYPERLINK("https://www.google.iq/maps/search/+34.0644,44.8969/@34.0644,44.8969,14z?hl=en","Maplink2")</f>
        <v>Maplink2</v>
      </c>
      <c r="AY153" s="20" t="str">
        <f>HYPERLINK("http://www.bing.com/maps/?lvl=14&amp;sty=h&amp;cp=34.0644~44.8969&amp;sp=point.34.0644_44.8969","Maplink3")</f>
        <v>Maplink3</v>
      </c>
    </row>
    <row r="154" spans="1:51" x14ac:dyDescent="0.25">
      <c r="A154" s="9">
        <v>28469</v>
      </c>
      <c r="B154" s="10" t="s">
        <v>13</v>
      </c>
      <c r="C154" s="10" t="s">
        <v>211</v>
      </c>
      <c r="D154" s="10" t="s">
        <v>220</v>
      </c>
      <c r="E154" s="10" t="s">
        <v>221</v>
      </c>
      <c r="F154" s="10">
        <v>34.278477553899997</v>
      </c>
      <c r="G154" s="10">
        <v>44.562996477900001</v>
      </c>
      <c r="H154" s="10" t="s">
        <v>213</v>
      </c>
      <c r="I154" s="10" t="s">
        <v>214</v>
      </c>
      <c r="J154" s="10"/>
      <c r="K154" s="11">
        <v>103</v>
      </c>
      <c r="L154" s="11">
        <v>618</v>
      </c>
      <c r="M154" s="11"/>
      <c r="N154" s="11"/>
      <c r="O154" s="11"/>
      <c r="P154" s="11"/>
      <c r="Q154" s="11"/>
      <c r="R154" s="11">
        <v>75</v>
      </c>
      <c r="S154" s="11"/>
      <c r="T154" s="11"/>
      <c r="U154" s="11">
        <v>28</v>
      </c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>
        <v>75</v>
      </c>
      <c r="AG154" s="11"/>
      <c r="AH154" s="11"/>
      <c r="AI154" s="11"/>
      <c r="AJ154" s="11"/>
      <c r="AK154" s="11"/>
      <c r="AL154" s="11"/>
      <c r="AM154" s="11"/>
      <c r="AN154" s="11">
        <v>28</v>
      </c>
      <c r="AO154" s="11"/>
      <c r="AP154" s="11"/>
      <c r="AQ154" s="11">
        <v>103</v>
      </c>
      <c r="AR154" s="11"/>
      <c r="AS154" s="11"/>
      <c r="AT154" s="11"/>
      <c r="AU154" s="11"/>
      <c r="AV154" s="11"/>
      <c r="AW154" s="20" t="str">
        <f>HYPERLINK("http://www.openstreetmap.org/?mlat=34.2785&amp;mlon=44.563&amp;zoom=12#map=12/34.2785/44.563","Maplink1")</f>
        <v>Maplink1</v>
      </c>
      <c r="AX154" s="20" t="str">
        <f>HYPERLINK("https://www.google.iq/maps/search/+34.2785,44.563/@34.2785,44.563,14z?hl=en","Maplink2")</f>
        <v>Maplink2</v>
      </c>
      <c r="AY154" s="20" t="str">
        <f>HYPERLINK("http://www.bing.com/maps/?lvl=14&amp;sty=h&amp;cp=34.2785~44.563&amp;sp=point.34.2785_44.563","Maplink3")</f>
        <v>Maplink3</v>
      </c>
    </row>
    <row r="155" spans="1:51" x14ac:dyDescent="0.25">
      <c r="A155" s="9">
        <v>21162</v>
      </c>
      <c r="B155" s="10" t="s">
        <v>13</v>
      </c>
      <c r="C155" s="10" t="s">
        <v>211</v>
      </c>
      <c r="D155" s="10" t="s">
        <v>222</v>
      </c>
      <c r="E155" s="10" t="s">
        <v>223</v>
      </c>
      <c r="F155" s="10">
        <v>34.216579066000001</v>
      </c>
      <c r="G155" s="10">
        <v>44.468902393199997</v>
      </c>
      <c r="H155" s="10" t="s">
        <v>213</v>
      </c>
      <c r="I155" s="10" t="s">
        <v>214</v>
      </c>
      <c r="J155" s="10" t="s">
        <v>224</v>
      </c>
      <c r="K155" s="11">
        <v>34</v>
      </c>
      <c r="L155" s="11">
        <v>204</v>
      </c>
      <c r="M155" s="11"/>
      <c r="N155" s="11"/>
      <c r="O155" s="11"/>
      <c r="P155" s="11"/>
      <c r="Q155" s="11"/>
      <c r="R155" s="11"/>
      <c r="S155" s="11"/>
      <c r="T155" s="11"/>
      <c r="U155" s="11">
        <v>34</v>
      </c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>
        <v>34</v>
      </c>
      <c r="AH155" s="11"/>
      <c r="AI155" s="11"/>
      <c r="AJ155" s="11"/>
      <c r="AK155" s="11"/>
      <c r="AL155" s="11"/>
      <c r="AM155" s="11"/>
      <c r="AN155" s="11"/>
      <c r="AO155" s="11"/>
      <c r="AP155" s="11"/>
      <c r="AQ155" s="11">
        <v>34</v>
      </c>
      <c r="AR155" s="11"/>
      <c r="AS155" s="11"/>
      <c r="AT155" s="11"/>
      <c r="AU155" s="11"/>
      <c r="AV155" s="11"/>
      <c r="AW155" s="20" t="str">
        <f>HYPERLINK("http://www.openstreetmap.org/?mlat=34.2166&amp;mlon=44.4689&amp;zoom=12#map=12/34.2166/44.4689","Maplink1")</f>
        <v>Maplink1</v>
      </c>
      <c r="AX155" s="20" t="str">
        <f>HYPERLINK("https://www.google.iq/maps/search/+34.2166,44.4689/@34.2166,44.4689,14z?hl=en","Maplink2")</f>
        <v>Maplink2</v>
      </c>
      <c r="AY155" s="20" t="str">
        <f>HYPERLINK("http://www.bing.com/maps/?lvl=14&amp;sty=h&amp;cp=34.2166~44.4689&amp;sp=point.34.2166_44.4689","Maplink3")</f>
        <v>Maplink3</v>
      </c>
    </row>
    <row r="156" spans="1:51" x14ac:dyDescent="0.25">
      <c r="A156" s="9">
        <v>28445</v>
      </c>
      <c r="B156" s="10" t="s">
        <v>13</v>
      </c>
      <c r="C156" s="10" t="s">
        <v>211</v>
      </c>
      <c r="D156" s="10" t="s">
        <v>1030</v>
      </c>
      <c r="E156" s="10" t="s">
        <v>212</v>
      </c>
      <c r="F156" s="10">
        <v>34.274324476799997</v>
      </c>
      <c r="G156" s="10">
        <v>44.538236474599998</v>
      </c>
      <c r="H156" s="10" t="s">
        <v>213</v>
      </c>
      <c r="I156" s="10" t="s">
        <v>214</v>
      </c>
      <c r="J156" s="10"/>
      <c r="K156" s="11">
        <v>696</v>
      </c>
      <c r="L156" s="11">
        <v>4176</v>
      </c>
      <c r="M156" s="11"/>
      <c r="N156" s="11"/>
      <c r="O156" s="11"/>
      <c r="P156" s="11"/>
      <c r="Q156" s="11"/>
      <c r="R156" s="11">
        <v>475</v>
      </c>
      <c r="S156" s="11"/>
      <c r="T156" s="11"/>
      <c r="U156" s="11">
        <v>221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>
        <v>517</v>
      </c>
      <c r="AG156" s="11">
        <v>30</v>
      </c>
      <c r="AH156" s="11"/>
      <c r="AI156" s="11"/>
      <c r="AJ156" s="11"/>
      <c r="AK156" s="11"/>
      <c r="AL156" s="11"/>
      <c r="AM156" s="11"/>
      <c r="AN156" s="11">
        <v>149</v>
      </c>
      <c r="AO156" s="11"/>
      <c r="AP156" s="11"/>
      <c r="AQ156" s="11">
        <v>696</v>
      </c>
      <c r="AR156" s="11"/>
      <c r="AS156" s="11"/>
      <c r="AT156" s="11"/>
      <c r="AU156" s="11"/>
      <c r="AV156" s="11"/>
      <c r="AW156" s="20" t="str">
        <f>HYPERLINK("http://www.openstreetmap.org/?mlat=34.2743&amp;mlon=44.5382&amp;zoom=12#map=12/34.2743/44.5382","Maplink1")</f>
        <v>Maplink1</v>
      </c>
      <c r="AX156" s="20" t="str">
        <f>HYPERLINK("https://www.google.iq/maps/search/+34.2743,44.5382/@34.2743,44.5382,14z?hl=en","Maplink2")</f>
        <v>Maplink2</v>
      </c>
      <c r="AY156" s="20" t="str">
        <f>HYPERLINK("http://www.bing.com/maps/?lvl=14&amp;sty=h&amp;cp=34.2743~44.5382&amp;sp=point.34.2743_44.5382","Maplink3")</f>
        <v>Maplink3</v>
      </c>
    </row>
    <row r="157" spans="1:51" x14ac:dyDescent="0.25">
      <c r="A157" s="9">
        <v>27177</v>
      </c>
      <c r="B157" s="10" t="s">
        <v>13</v>
      </c>
      <c r="C157" s="10" t="s">
        <v>211</v>
      </c>
      <c r="D157" s="10" t="s">
        <v>225</v>
      </c>
      <c r="E157" s="10" t="s">
        <v>226</v>
      </c>
      <c r="F157" s="10">
        <v>34.090948081500002</v>
      </c>
      <c r="G157" s="10">
        <v>44.348268050800002</v>
      </c>
      <c r="H157" s="10" t="s">
        <v>213</v>
      </c>
      <c r="I157" s="10" t="s">
        <v>214</v>
      </c>
      <c r="J157" s="10"/>
      <c r="K157" s="11">
        <v>42</v>
      </c>
      <c r="L157" s="11">
        <v>252</v>
      </c>
      <c r="M157" s="11"/>
      <c r="N157" s="11"/>
      <c r="O157" s="11"/>
      <c r="P157" s="11"/>
      <c r="Q157" s="11"/>
      <c r="R157" s="11"/>
      <c r="S157" s="11"/>
      <c r="T157" s="11"/>
      <c r="U157" s="11">
        <v>42</v>
      </c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>
        <v>42</v>
      </c>
      <c r="AH157" s="11"/>
      <c r="AI157" s="11"/>
      <c r="AJ157" s="11"/>
      <c r="AK157" s="11"/>
      <c r="AL157" s="11"/>
      <c r="AM157" s="11"/>
      <c r="AN157" s="11"/>
      <c r="AO157" s="11"/>
      <c r="AP157" s="11"/>
      <c r="AQ157" s="11">
        <v>42</v>
      </c>
      <c r="AR157" s="11"/>
      <c r="AS157" s="11"/>
      <c r="AT157" s="11"/>
      <c r="AU157" s="11"/>
      <c r="AV157" s="11"/>
      <c r="AW157" s="20" t="str">
        <f>HYPERLINK("http://www.openstreetmap.org/?mlat=34.0909&amp;mlon=44.3483&amp;zoom=12#map=12/34.0909/44.3483","Maplink1")</f>
        <v>Maplink1</v>
      </c>
      <c r="AX157" s="20" t="str">
        <f>HYPERLINK("https://www.google.iq/maps/search/+34.0909,44.3483/@34.0909,44.3483,14z?hl=en","Maplink2")</f>
        <v>Maplink2</v>
      </c>
      <c r="AY157" s="20" t="str">
        <f>HYPERLINK("http://www.bing.com/maps/?lvl=14&amp;sty=h&amp;cp=34.0909~44.3483&amp;sp=point.34.0909_44.3483","Maplink3")</f>
        <v>Maplink3</v>
      </c>
    </row>
    <row r="158" spans="1:51" x14ac:dyDescent="0.25">
      <c r="A158" s="9">
        <v>21161</v>
      </c>
      <c r="B158" s="10" t="s">
        <v>13</v>
      </c>
      <c r="C158" s="10" t="s">
        <v>211</v>
      </c>
      <c r="D158" s="10" t="s">
        <v>1031</v>
      </c>
      <c r="E158" s="10" t="s">
        <v>227</v>
      </c>
      <c r="F158" s="10">
        <v>34.219653668799999</v>
      </c>
      <c r="G158" s="10">
        <v>44.481016433400001</v>
      </c>
      <c r="H158" s="10" t="s">
        <v>213</v>
      </c>
      <c r="I158" s="10" t="s">
        <v>214</v>
      </c>
      <c r="J158" s="10" t="s">
        <v>228</v>
      </c>
      <c r="K158" s="11">
        <v>125</v>
      </c>
      <c r="L158" s="11">
        <v>750</v>
      </c>
      <c r="M158" s="11"/>
      <c r="N158" s="11"/>
      <c r="O158" s="11"/>
      <c r="P158" s="11"/>
      <c r="Q158" s="11"/>
      <c r="R158" s="11"/>
      <c r="S158" s="11"/>
      <c r="T158" s="11"/>
      <c r="U158" s="11">
        <v>125</v>
      </c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>
        <v>125</v>
      </c>
      <c r="AH158" s="11"/>
      <c r="AI158" s="11"/>
      <c r="AJ158" s="11"/>
      <c r="AK158" s="11"/>
      <c r="AL158" s="11"/>
      <c r="AM158" s="11"/>
      <c r="AN158" s="11"/>
      <c r="AO158" s="11"/>
      <c r="AP158" s="11"/>
      <c r="AQ158" s="11">
        <v>125</v>
      </c>
      <c r="AR158" s="11"/>
      <c r="AS158" s="11"/>
      <c r="AT158" s="11"/>
      <c r="AU158" s="11"/>
      <c r="AV158" s="11"/>
      <c r="AW158" s="20" t="str">
        <f>HYPERLINK("http://www.openstreetmap.org/?mlat=34.2197&amp;mlon=44.481&amp;zoom=12#map=12/34.2197/44.481","Maplink1")</f>
        <v>Maplink1</v>
      </c>
      <c r="AX158" s="20" t="str">
        <f>HYPERLINK("https://www.google.iq/maps/search/+34.2197,44.481/@34.2197,44.481,14z?hl=en","Maplink2")</f>
        <v>Maplink2</v>
      </c>
      <c r="AY158" s="20" t="str">
        <f>HYPERLINK("http://www.bing.com/maps/?lvl=14&amp;sty=h&amp;cp=34.2197~44.481&amp;sp=point.34.2197_44.481","Maplink3")</f>
        <v>Maplink3</v>
      </c>
    </row>
    <row r="159" spans="1:51" x14ac:dyDescent="0.25">
      <c r="A159" s="9">
        <v>21223</v>
      </c>
      <c r="B159" s="10" t="s">
        <v>13</v>
      </c>
      <c r="C159" s="10" t="s">
        <v>211</v>
      </c>
      <c r="D159" s="10" t="s">
        <v>771</v>
      </c>
      <c r="E159" s="10" t="s">
        <v>772</v>
      </c>
      <c r="F159" s="10">
        <v>34.332530419400001</v>
      </c>
      <c r="G159" s="10">
        <v>44.558998269999996</v>
      </c>
      <c r="H159" s="10" t="s">
        <v>213</v>
      </c>
      <c r="I159" s="10" t="s">
        <v>214</v>
      </c>
      <c r="J159" s="10" t="s">
        <v>773</v>
      </c>
      <c r="K159" s="11">
        <v>113</v>
      </c>
      <c r="L159" s="11">
        <v>678</v>
      </c>
      <c r="M159" s="11"/>
      <c r="N159" s="11"/>
      <c r="O159" s="11"/>
      <c r="P159" s="11"/>
      <c r="Q159" s="11">
        <v>113</v>
      </c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>
        <v>113</v>
      </c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>
        <v>113</v>
      </c>
      <c r="AR159" s="11"/>
      <c r="AS159" s="11"/>
      <c r="AT159" s="11"/>
      <c r="AU159" s="11"/>
      <c r="AV159" s="11"/>
      <c r="AW159" s="20" t="str">
        <f>HYPERLINK("http://www.openstreetmap.org/?mlat=34.3325&amp;mlon=44.559&amp;zoom=12#map=12/34.3325/44.559","Maplink1")</f>
        <v>Maplink1</v>
      </c>
      <c r="AX159" s="20" t="str">
        <f>HYPERLINK("https://www.google.iq/maps/search/+34.3325,44.559/@34.3325,44.559,14z?hl=en","Maplink2")</f>
        <v>Maplink2</v>
      </c>
      <c r="AY159" s="20" t="str">
        <f>HYPERLINK("http://www.bing.com/maps/?lvl=14&amp;sty=h&amp;cp=34.3325~44.559&amp;sp=point.34.3325_44.559","Maplink3")</f>
        <v>Maplink3</v>
      </c>
    </row>
    <row r="160" spans="1:51" x14ac:dyDescent="0.25">
      <c r="A160" s="9">
        <v>25667</v>
      </c>
      <c r="B160" s="10" t="s">
        <v>13</v>
      </c>
      <c r="C160" s="10" t="s">
        <v>211</v>
      </c>
      <c r="D160" s="10" t="s">
        <v>1032</v>
      </c>
      <c r="E160" s="10" t="s">
        <v>249</v>
      </c>
      <c r="F160" s="10">
        <v>34.079797553699997</v>
      </c>
      <c r="G160" s="10">
        <v>44.882956991</v>
      </c>
      <c r="H160" s="10" t="s">
        <v>213</v>
      </c>
      <c r="I160" s="10" t="s">
        <v>214</v>
      </c>
      <c r="J160" s="10"/>
      <c r="K160" s="11">
        <v>284</v>
      </c>
      <c r="L160" s="11">
        <v>1704</v>
      </c>
      <c r="M160" s="11"/>
      <c r="N160" s="11"/>
      <c r="O160" s="11"/>
      <c r="P160" s="11"/>
      <c r="Q160" s="11"/>
      <c r="R160" s="11">
        <v>234</v>
      </c>
      <c r="S160" s="11"/>
      <c r="T160" s="11"/>
      <c r="U160" s="11">
        <v>50</v>
      </c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>
        <v>155</v>
      </c>
      <c r="AG160" s="11"/>
      <c r="AH160" s="11"/>
      <c r="AI160" s="11"/>
      <c r="AJ160" s="11"/>
      <c r="AK160" s="11"/>
      <c r="AL160" s="11"/>
      <c r="AM160" s="11"/>
      <c r="AN160" s="11">
        <v>129</v>
      </c>
      <c r="AO160" s="11"/>
      <c r="AP160" s="11"/>
      <c r="AQ160" s="11">
        <v>284</v>
      </c>
      <c r="AR160" s="11"/>
      <c r="AS160" s="11"/>
      <c r="AT160" s="11"/>
      <c r="AU160" s="11"/>
      <c r="AV160" s="11"/>
      <c r="AW160" s="20" t="str">
        <f>HYPERLINK("http://www.openstreetmap.org/?mlat=34.0798&amp;mlon=44.883&amp;zoom=12#map=12/34.0798/44.883","Maplink1")</f>
        <v>Maplink1</v>
      </c>
      <c r="AX160" s="20" t="str">
        <f>HYPERLINK("https://www.google.iq/maps/search/+34.0798,44.883/@34.0798,44.883,14z?hl=en","Maplink2")</f>
        <v>Maplink2</v>
      </c>
      <c r="AY160" s="20" t="str">
        <f>HYPERLINK("http://www.bing.com/maps/?lvl=14&amp;sty=h&amp;cp=34.0798~44.883&amp;sp=point.34.0798_44.883","Maplink3")</f>
        <v>Maplink3</v>
      </c>
    </row>
    <row r="161" spans="1:51" x14ac:dyDescent="0.25">
      <c r="A161" s="9">
        <v>25676</v>
      </c>
      <c r="B161" s="10" t="s">
        <v>13</v>
      </c>
      <c r="C161" s="10" t="s">
        <v>211</v>
      </c>
      <c r="D161" s="10" t="s">
        <v>1033</v>
      </c>
      <c r="E161" s="10" t="s">
        <v>1034</v>
      </c>
      <c r="F161" s="10">
        <v>34.027248630300001</v>
      </c>
      <c r="G161" s="10">
        <v>44.867671039000001</v>
      </c>
      <c r="H161" s="10" t="s">
        <v>213</v>
      </c>
      <c r="I161" s="10" t="s">
        <v>214</v>
      </c>
      <c r="J161" s="10"/>
      <c r="K161" s="11">
        <v>150</v>
      </c>
      <c r="L161" s="11">
        <v>900</v>
      </c>
      <c r="M161" s="11"/>
      <c r="N161" s="11"/>
      <c r="O161" s="11"/>
      <c r="P161" s="11"/>
      <c r="Q161" s="11"/>
      <c r="R161" s="11">
        <v>78</v>
      </c>
      <c r="S161" s="11"/>
      <c r="T161" s="11"/>
      <c r="U161" s="11">
        <v>50</v>
      </c>
      <c r="V161" s="11"/>
      <c r="W161" s="11"/>
      <c r="X161" s="11"/>
      <c r="Y161" s="11"/>
      <c r="Z161" s="11"/>
      <c r="AA161" s="11"/>
      <c r="AB161" s="11">
        <v>22</v>
      </c>
      <c r="AC161" s="11"/>
      <c r="AD161" s="11"/>
      <c r="AE161" s="11"/>
      <c r="AF161" s="11">
        <v>150</v>
      </c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>
        <v>150</v>
      </c>
      <c r="AT161" s="11"/>
      <c r="AU161" s="11"/>
      <c r="AV161" s="11"/>
      <c r="AW161" s="20" t="str">
        <f>HYPERLINK("http://www.openstreetmap.org/?mlat=34.0272&amp;mlon=44.8677&amp;zoom=12#map=12/34.0272/44.8677","Maplink1")</f>
        <v>Maplink1</v>
      </c>
      <c r="AX161" s="20" t="str">
        <f>HYPERLINK("https://www.google.iq/maps/search/+34.0272,44.8677/@34.0272,44.8677,14z?hl=en","Maplink2")</f>
        <v>Maplink2</v>
      </c>
      <c r="AY161" s="20" t="str">
        <f>HYPERLINK("http://www.bing.com/maps/?lvl=14&amp;sty=h&amp;cp=34.0272~44.8677&amp;sp=point.34.0272_44.8677","Maplink3")</f>
        <v>Maplink3</v>
      </c>
    </row>
    <row r="162" spans="1:51" x14ac:dyDescent="0.25">
      <c r="A162" s="9">
        <v>25806</v>
      </c>
      <c r="B162" s="10" t="s">
        <v>13</v>
      </c>
      <c r="C162" s="10" t="s">
        <v>211</v>
      </c>
      <c r="D162" s="10" t="s">
        <v>1035</v>
      </c>
      <c r="E162" s="10" t="s">
        <v>1036</v>
      </c>
      <c r="F162" s="10">
        <v>34.054877040900003</v>
      </c>
      <c r="G162" s="10">
        <v>44.886513567599998</v>
      </c>
      <c r="H162" s="10" t="s">
        <v>213</v>
      </c>
      <c r="I162" s="10" t="s">
        <v>214</v>
      </c>
      <c r="J162" s="10"/>
      <c r="K162" s="11">
        <v>28</v>
      </c>
      <c r="L162" s="11">
        <v>168</v>
      </c>
      <c r="M162" s="11"/>
      <c r="N162" s="11"/>
      <c r="O162" s="11"/>
      <c r="P162" s="11"/>
      <c r="Q162" s="11"/>
      <c r="R162" s="11">
        <v>28</v>
      </c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>
        <v>13</v>
      </c>
      <c r="AG162" s="11"/>
      <c r="AH162" s="11"/>
      <c r="AI162" s="11"/>
      <c r="AJ162" s="11"/>
      <c r="AK162" s="11"/>
      <c r="AL162" s="11"/>
      <c r="AM162" s="11"/>
      <c r="AN162" s="11">
        <v>15</v>
      </c>
      <c r="AO162" s="11"/>
      <c r="AP162" s="11"/>
      <c r="AQ162" s="11">
        <v>28</v>
      </c>
      <c r="AR162" s="11"/>
      <c r="AS162" s="11"/>
      <c r="AT162" s="11"/>
      <c r="AU162" s="11"/>
      <c r="AV162" s="11"/>
      <c r="AW162" s="20" t="str">
        <f>HYPERLINK("http://www.openstreetmap.org/?mlat=34.0549&amp;mlon=44.8865&amp;zoom=12#map=12/34.0549/44.8865","Maplink1")</f>
        <v>Maplink1</v>
      </c>
      <c r="AX162" s="20" t="str">
        <f>HYPERLINK("https://www.google.iq/maps/search/+34.0549,44.8865/@34.0549,44.8865,14z?hl=en","Maplink2")</f>
        <v>Maplink2</v>
      </c>
      <c r="AY162" s="20" t="str">
        <f>HYPERLINK("http://www.bing.com/maps/?lvl=14&amp;sty=h&amp;cp=34.0549~44.8865&amp;sp=point.34.0549_44.8865","Maplink3")</f>
        <v>Maplink3</v>
      </c>
    </row>
    <row r="163" spans="1:51" x14ac:dyDescent="0.25">
      <c r="A163" s="9">
        <v>25665</v>
      </c>
      <c r="B163" s="10" t="s">
        <v>13</v>
      </c>
      <c r="C163" s="10" t="s">
        <v>211</v>
      </c>
      <c r="D163" s="10" t="s">
        <v>1037</v>
      </c>
      <c r="E163" s="10" t="s">
        <v>250</v>
      </c>
      <c r="F163" s="10">
        <v>34.036864342599998</v>
      </c>
      <c r="G163" s="10">
        <v>44.7635042227</v>
      </c>
      <c r="H163" s="10" t="s">
        <v>213</v>
      </c>
      <c r="I163" s="10" t="s">
        <v>214</v>
      </c>
      <c r="J163" s="10"/>
      <c r="K163" s="11">
        <v>75</v>
      </c>
      <c r="L163" s="11">
        <v>450</v>
      </c>
      <c r="M163" s="11"/>
      <c r="N163" s="11"/>
      <c r="O163" s="11"/>
      <c r="P163" s="11"/>
      <c r="Q163" s="11"/>
      <c r="R163" s="11">
        <v>75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>
        <v>75</v>
      </c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>
        <v>75</v>
      </c>
      <c r="AR163" s="11"/>
      <c r="AS163" s="11"/>
      <c r="AT163" s="11"/>
      <c r="AU163" s="11"/>
      <c r="AV163" s="11"/>
      <c r="AW163" s="20" t="str">
        <f>HYPERLINK("http://www.openstreetmap.org/?mlat=34.0369&amp;mlon=44.7635&amp;zoom=12#map=12/34.0369/44.7635","Maplink1")</f>
        <v>Maplink1</v>
      </c>
      <c r="AX163" s="20" t="str">
        <f>HYPERLINK("https://www.google.iq/maps/search/+34.0369,44.7635/@34.0369,44.7635,14z?hl=en","Maplink2")</f>
        <v>Maplink2</v>
      </c>
      <c r="AY163" s="20" t="str">
        <f>HYPERLINK("http://www.bing.com/maps/?lvl=14&amp;sty=h&amp;cp=34.0369~44.7635&amp;sp=point.34.0369_44.7635","Maplink3")</f>
        <v>Maplink3</v>
      </c>
    </row>
    <row r="164" spans="1:51" x14ac:dyDescent="0.25">
      <c r="A164" s="9">
        <v>25666</v>
      </c>
      <c r="B164" s="10" t="s">
        <v>13</v>
      </c>
      <c r="C164" s="10" t="s">
        <v>211</v>
      </c>
      <c r="D164" s="10" t="s">
        <v>1038</v>
      </c>
      <c r="E164" s="10" t="s">
        <v>251</v>
      </c>
      <c r="F164" s="10">
        <v>34.084614422800001</v>
      </c>
      <c r="G164" s="10">
        <v>44.775754945599999</v>
      </c>
      <c r="H164" s="10" t="s">
        <v>213</v>
      </c>
      <c r="I164" s="10" t="s">
        <v>214</v>
      </c>
      <c r="J164" s="10"/>
      <c r="K164" s="11">
        <v>72</v>
      </c>
      <c r="L164" s="11">
        <v>432</v>
      </c>
      <c r="M164" s="11"/>
      <c r="N164" s="11"/>
      <c r="O164" s="11"/>
      <c r="P164" s="11"/>
      <c r="Q164" s="11"/>
      <c r="R164" s="11">
        <v>72</v>
      </c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>
        <v>72</v>
      </c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>
        <v>72</v>
      </c>
      <c r="AT164" s="11"/>
      <c r="AU164" s="11"/>
      <c r="AV164" s="11"/>
      <c r="AW164" s="20" t="str">
        <f>HYPERLINK("http://www.openstreetmap.org/?mlat=34.0846&amp;mlon=44.7758&amp;zoom=12#map=12/34.0846/44.7758","Maplink1")</f>
        <v>Maplink1</v>
      </c>
      <c r="AX164" s="20" t="str">
        <f>HYPERLINK("https://www.google.iq/maps/search/+34.0846,44.7758/@34.0846,44.7758,14z?hl=en","Maplink2")</f>
        <v>Maplink2</v>
      </c>
      <c r="AY164" s="20" t="str">
        <f>HYPERLINK("http://www.bing.com/maps/?lvl=14&amp;sty=h&amp;cp=34.0846~44.7758&amp;sp=point.34.0846_44.7758","Maplink3")</f>
        <v>Maplink3</v>
      </c>
    </row>
    <row r="165" spans="1:51" x14ac:dyDescent="0.25">
      <c r="A165" s="9">
        <v>27165</v>
      </c>
      <c r="B165" s="10" t="s">
        <v>13</v>
      </c>
      <c r="C165" s="10" t="s">
        <v>211</v>
      </c>
      <c r="D165" s="10" t="s">
        <v>1264</v>
      </c>
      <c r="E165" s="10" t="s">
        <v>1265</v>
      </c>
      <c r="F165" s="10">
        <v>34.210737373699999</v>
      </c>
      <c r="G165" s="10">
        <v>44.526633813799997</v>
      </c>
      <c r="H165" s="10" t="s">
        <v>213</v>
      </c>
      <c r="I165" s="10" t="s">
        <v>214</v>
      </c>
      <c r="J165" s="10"/>
      <c r="K165" s="11">
        <v>17</v>
      </c>
      <c r="L165" s="11">
        <v>102</v>
      </c>
      <c r="M165" s="11"/>
      <c r="N165" s="11"/>
      <c r="O165" s="11"/>
      <c r="P165" s="11"/>
      <c r="Q165" s="11"/>
      <c r="R165" s="11"/>
      <c r="S165" s="11"/>
      <c r="T165" s="11"/>
      <c r="U165" s="11">
        <v>17</v>
      </c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>
        <v>17</v>
      </c>
      <c r="AH165" s="11"/>
      <c r="AI165" s="11"/>
      <c r="AJ165" s="11"/>
      <c r="AK165" s="11"/>
      <c r="AL165" s="11"/>
      <c r="AM165" s="11"/>
      <c r="AN165" s="11"/>
      <c r="AO165" s="11"/>
      <c r="AP165" s="11"/>
      <c r="AQ165" s="11">
        <v>17</v>
      </c>
      <c r="AR165" s="11"/>
      <c r="AS165" s="11"/>
      <c r="AT165" s="11"/>
      <c r="AU165" s="11"/>
      <c r="AV165" s="11"/>
      <c r="AW165" s="20" t="str">
        <f>HYPERLINK("http://www.openstreetmap.org/?mlat=34.2107&amp;mlon=44.5266&amp;zoom=12#map=12/34.2107/44.5266","Maplink1")</f>
        <v>Maplink1</v>
      </c>
      <c r="AX165" s="20" t="str">
        <f>HYPERLINK("https://www.google.iq/maps/search/+34.2107,44.5266/@34.2107,44.5266,14z?hl=en","Maplink2")</f>
        <v>Maplink2</v>
      </c>
      <c r="AY165" s="20" t="str">
        <f>HYPERLINK("http://www.bing.com/maps/?lvl=14&amp;sty=h&amp;cp=34.2107~44.5266&amp;sp=point.34.2107_44.5266","Maplink3")</f>
        <v>Maplink3</v>
      </c>
    </row>
    <row r="166" spans="1:51" x14ac:dyDescent="0.25">
      <c r="A166" s="9">
        <v>27166</v>
      </c>
      <c r="B166" s="10" t="s">
        <v>13</v>
      </c>
      <c r="C166" s="10" t="s">
        <v>211</v>
      </c>
      <c r="D166" s="10" t="s">
        <v>1266</v>
      </c>
      <c r="E166" s="10" t="s">
        <v>1267</v>
      </c>
      <c r="F166" s="10">
        <v>34.196613700999997</v>
      </c>
      <c r="G166" s="10">
        <v>44.533133909500002</v>
      </c>
      <c r="H166" s="10" t="s">
        <v>213</v>
      </c>
      <c r="I166" s="10" t="s">
        <v>214</v>
      </c>
      <c r="J166" s="10"/>
      <c r="K166" s="11">
        <v>22</v>
      </c>
      <c r="L166" s="11">
        <v>132</v>
      </c>
      <c r="M166" s="11"/>
      <c r="N166" s="11"/>
      <c r="O166" s="11"/>
      <c r="P166" s="11"/>
      <c r="Q166" s="11"/>
      <c r="R166" s="11"/>
      <c r="S166" s="11"/>
      <c r="T166" s="11"/>
      <c r="U166" s="11">
        <v>22</v>
      </c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>
        <v>22</v>
      </c>
      <c r="AH166" s="11"/>
      <c r="AI166" s="11"/>
      <c r="AJ166" s="11"/>
      <c r="AK166" s="11"/>
      <c r="AL166" s="11"/>
      <c r="AM166" s="11"/>
      <c r="AN166" s="11"/>
      <c r="AO166" s="11"/>
      <c r="AP166" s="11"/>
      <c r="AQ166" s="11">
        <v>22</v>
      </c>
      <c r="AR166" s="11"/>
      <c r="AS166" s="11"/>
      <c r="AT166" s="11"/>
      <c r="AU166" s="11"/>
      <c r="AV166" s="11"/>
      <c r="AW166" s="20" t="str">
        <f>HYPERLINK("http://www.openstreetmap.org/?mlat=34.1966&amp;mlon=44.5331&amp;zoom=12#map=12/34.1966/44.5331","Maplink1")</f>
        <v>Maplink1</v>
      </c>
      <c r="AX166" s="20" t="str">
        <f>HYPERLINK("https://www.google.iq/maps/search/+34.1966,44.5331/@34.1966,44.5331,14z?hl=en","Maplink2")</f>
        <v>Maplink2</v>
      </c>
      <c r="AY166" s="20" t="str">
        <f>HYPERLINK("http://www.bing.com/maps/?lvl=14&amp;sty=h&amp;cp=34.1966~44.5331&amp;sp=point.34.1966_44.5331","Maplink3")</f>
        <v>Maplink3</v>
      </c>
    </row>
    <row r="167" spans="1:51" x14ac:dyDescent="0.25">
      <c r="A167" s="9">
        <v>27181</v>
      </c>
      <c r="B167" s="10" t="s">
        <v>13</v>
      </c>
      <c r="C167" s="10" t="s">
        <v>211</v>
      </c>
      <c r="D167" s="10" t="s">
        <v>1039</v>
      </c>
      <c r="E167" s="10" t="s">
        <v>229</v>
      </c>
      <c r="F167" s="10">
        <v>34.455403015999998</v>
      </c>
      <c r="G167" s="10">
        <v>44.492120333199999</v>
      </c>
      <c r="H167" s="10" t="s">
        <v>213</v>
      </c>
      <c r="I167" s="10" t="s">
        <v>214</v>
      </c>
      <c r="J167" s="10"/>
      <c r="K167" s="11">
        <v>20</v>
      </c>
      <c r="L167" s="11">
        <v>120</v>
      </c>
      <c r="M167" s="11"/>
      <c r="N167" s="11"/>
      <c r="O167" s="11"/>
      <c r="P167" s="11"/>
      <c r="Q167" s="11"/>
      <c r="R167" s="11"/>
      <c r="S167" s="11"/>
      <c r="T167" s="11"/>
      <c r="U167" s="11">
        <v>20</v>
      </c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>
        <v>20</v>
      </c>
      <c r="AH167" s="11"/>
      <c r="AI167" s="11"/>
      <c r="AJ167" s="11"/>
      <c r="AK167" s="11"/>
      <c r="AL167" s="11"/>
      <c r="AM167" s="11"/>
      <c r="AN167" s="11"/>
      <c r="AO167" s="11"/>
      <c r="AP167" s="11"/>
      <c r="AQ167" s="11">
        <v>20</v>
      </c>
      <c r="AR167" s="11"/>
      <c r="AS167" s="11"/>
      <c r="AT167" s="11"/>
      <c r="AU167" s="11"/>
      <c r="AV167" s="11"/>
      <c r="AW167" s="20" t="str">
        <f>HYPERLINK("http://www.openstreetmap.org/?mlat=34.4554&amp;mlon=44.4921&amp;zoom=12#map=12/34.4554/44.4921","Maplink1")</f>
        <v>Maplink1</v>
      </c>
      <c r="AX167" s="20" t="str">
        <f>HYPERLINK("https://www.google.iq/maps/search/+34.4554,44.4921/@34.4554,44.4921,14z?hl=en","Maplink2")</f>
        <v>Maplink2</v>
      </c>
      <c r="AY167" s="20" t="str">
        <f>HYPERLINK("http://www.bing.com/maps/?lvl=14&amp;sty=h&amp;cp=34.4554~44.4921&amp;sp=point.34.4554_44.4921","Maplink3")</f>
        <v>Maplink3</v>
      </c>
    </row>
    <row r="168" spans="1:51" x14ac:dyDescent="0.25">
      <c r="A168" s="9">
        <v>26057</v>
      </c>
      <c r="B168" s="10" t="s">
        <v>13</v>
      </c>
      <c r="C168" s="10" t="s">
        <v>211</v>
      </c>
      <c r="D168" s="10" t="s">
        <v>1040</v>
      </c>
      <c r="E168" s="10" t="s">
        <v>230</v>
      </c>
      <c r="F168" s="10">
        <v>34.079245161300001</v>
      </c>
      <c r="G168" s="10">
        <v>44.863570977400002</v>
      </c>
      <c r="H168" s="10" t="s">
        <v>213</v>
      </c>
      <c r="I168" s="10" t="s">
        <v>214</v>
      </c>
      <c r="J168" s="10"/>
      <c r="K168" s="11">
        <v>32</v>
      </c>
      <c r="L168" s="11">
        <v>192</v>
      </c>
      <c r="M168" s="11"/>
      <c r="N168" s="11"/>
      <c r="O168" s="11"/>
      <c r="P168" s="11"/>
      <c r="Q168" s="11"/>
      <c r="R168" s="11">
        <v>32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>
        <v>32</v>
      </c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>
        <v>32</v>
      </c>
      <c r="AR168" s="11"/>
      <c r="AS168" s="11"/>
      <c r="AT168" s="11"/>
      <c r="AU168" s="11"/>
      <c r="AV168" s="11"/>
      <c r="AW168" s="20" t="str">
        <f>HYPERLINK("http://www.openstreetmap.org/?mlat=34.0792&amp;mlon=44.8636&amp;zoom=12#map=12/34.0792/44.8636","Maplink1")</f>
        <v>Maplink1</v>
      </c>
      <c r="AX168" s="20" t="str">
        <f>HYPERLINK("https://www.google.iq/maps/search/+34.0792,44.8636/@34.0792,44.8636,14z?hl=en","Maplink2")</f>
        <v>Maplink2</v>
      </c>
      <c r="AY168" s="20" t="str">
        <f>HYPERLINK("http://www.bing.com/maps/?lvl=14&amp;sty=h&amp;cp=34.0792~44.8636&amp;sp=point.34.0792_44.8636","Maplink3")</f>
        <v>Maplink3</v>
      </c>
    </row>
    <row r="169" spans="1:51" x14ac:dyDescent="0.25">
      <c r="A169" s="9">
        <v>25661</v>
      </c>
      <c r="B169" s="10" t="s">
        <v>13</v>
      </c>
      <c r="C169" s="10" t="s">
        <v>211</v>
      </c>
      <c r="D169" s="10" t="s">
        <v>1041</v>
      </c>
      <c r="E169" s="10" t="s">
        <v>252</v>
      </c>
      <c r="F169" s="10">
        <v>34.0859304771</v>
      </c>
      <c r="G169" s="10">
        <v>44.928410689400003</v>
      </c>
      <c r="H169" s="10" t="s">
        <v>213</v>
      </c>
      <c r="I169" s="10" t="s">
        <v>214</v>
      </c>
      <c r="J169" s="10"/>
      <c r="K169" s="11">
        <v>230</v>
      </c>
      <c r="L169" s="11">
        <v>1380</v>
      </c>
      <c r="M169" s="11"/>
      <c r="N169" s="11"/>
      <c r="O169" s="11"/>
      <c r="P169" s="11"/>
      <c r="Q169" s="11"/>
      <c r="R169" s="11">
        <v>230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>
        <v>90</v>
      </c>
      <c r="AG169" s="11"/>
      <c r="AH169" s="11"/>
      <c r="AI169" s="11"/>
      <c r="AJ169" s="11"/>
      <c r="AK169" s="11"/>
      <c r="AL169" s="11"/>
      <c r="AM169" s="11"/>
      <c r="AN169" s="11">
        <v>140</v>
      </c>
      <c r="AO169" s="11"/>
      <c r="AP169" s="11"/>
      <c r="AQ169" s="11"/>
      <c r="AR169" s="11"/>
      <c r="AS169" s="11">
        <v>230</v>
      </c>
      <c r="AT169" s="11"/>
      <c r="AU169" s="11"/>
      <c r="AV169" s="11"/>
      <c r="AW169" s="20" t="str">
        <f>HYPERLINK("http://www.openstreetmap.org/?mlat=34.0859&amp;mlon=44.9284&amp;zoom=12#map=12/34.0859/44.9284","Maplink1")</f>
        <v>Maplink1</v>
      </c>
      <c r="AX169" s="20" t="str">
        <f>HYPERLINK("https://www.google.iq/maps/search/+34.0859,44.9284/@34.0859,44.9284,14z?hl=en","Maplink2")</f>
        <v>Maplink2</v>
      </c>
      <c r="AY169" s="20" t="str">
        <f>HYPERLINK("http://www.bing.com/maps/?lvl=14&amp;sty=h&amp;cp=34.0859~44.9284&amp;sp=point.34.0859_44.9284","Maplink3")</f>
        <v>Maplink3</v>
      </c>
    </row>
    <row r="170" spans="1:51" x14ac:dyDescent="0.25">
      <c r="A170" s="9">
        <v>27158</v>
      </c>
      <c r="B170" s="10" t="s">
        <v>13</v>
      </c>
      <c r="C170" s="10" t="s">
        <v>211</v>
      </c>
      <c r="D170" s="10" t="s">
        <v>231</v>
      </c>
      <c r="E170" s="10" t="s">
        <v>232</v>
      </c>
      <c r="F170" s="10">
        <v>34.412782622500004</v>
      </c>
      <c r="G170" s="10">
        <v>44.596434018799997</v>
      </c>
      <c r="H170" s="10" t="s">
        <v>213</v>
      </c>
      <c r="I170" s="10" t="s">
        <v>214</v>
      </c>
      <c r="J170" s="10"/>
      <c r="K170" s="11">
        <v>75</v>
      </c>
      <c r="L170" s="11">
        <v>450</v>
      </c>
      <c r="M170" s="11"/>
      <c r="N170" s="11"/>
      <c r="O170" s="11"/>
      <c r="P170" s="11"/>
      <c r="Q170" s="11"/>
      <c r="R170" s="11"/>
      <c r="S170" s="11"/>
      <c r="T170" s="11"/>
      <c r="U170" s="11">
        <v>75</v>
      </c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>
        <v>75</v>
      </c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75</v>
      </c>
      <c r="AR170" s="11"/>
      <c r="AS170" s="11"/>
      <c r="AT170" s="11"/>
      <c r="AU170" s="11"/>
      <c r="AV170" s="11"/>
      <c r="AW170" s="20" t="str">
        <f>HYPERLINK("http://www.openstreetmap.org/?mlat=34.4128&amp;mlon=44.5964&amp;zoom=12#map=12/34.4128/44.5964","Maplink1")</f>
        <v>Maplink1</v>
      </c>
      <c r="AX170" s="20" t="str">
        <f>HYPERLINK("https://www.google.iq/maps/search/+34.4128,44.5964/@34.4128,44.5964,14z?hl=en","Maplink2")</f>
        <v>Maplink2</v>
      </c>
      <c r="AY170" s="20" t="str">
        <f>HYPERLINK("http://www.bing.com/maps/?lvl=14&amp;sty=h&amp;cp=34.4128~44.5964&amp;sp=point.34.4128_44.5964","Maplink3")</f>
        <v>Maplink3</v>
      </c>
    </row>
    <row r="171" spans="1:51" x14ac:dyDescent="0.25">
      <c r="A171" s="9">
        <v>27159</v>
      </c>
      <c r="B171" s="10" t="s">
        <v>13</v>
      </c>
      <c r="C171" s="10" t="s">
        <v>211</v>
      </c>
      <c r="D171" s="10" t="s">
        <v>233</v>
      </c>
      <c r="E171" s="10" t="s">
        <v>234</v>
      </c>
      <c r="F171" s="10">
        <v>34.4173823287</v>
      </c>
      <c r="G171" s="10">
        <v>44.584945681599997</v>
      </c>
      <c r="H171" s="10" t="s">
        <v>213</v>
      </c>
      <c r="I171" s="10" t="s">
        <v>214</v>
      </c>
      <c r="J171" s="10"/>
      <c r="K171" s="11">
        <v>35</v>
      </c>
      <c r="L171" s="11">
        <v>210</v>
      </c>
      <c r="M171" s="11"/>
      <c r="N171" s="11"/>
      <c r="O171" s="11"/>
      <c r="P171" s="11"/>
      <c r="Q171" s="11"/>
      <c r="R171" s="11"/>
      <c r="S171" s="11"/>
      <c r="T171" s="11"/>
      <c r="U171" s="11">
        <v>35</v>
      </c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>
        <v>35</v>
      </c>
      <c r="AH171" s="11"/>
      <c r="AI171" s="11"/>
      <c r="AJ171" s="11"/>
      <c r="AK171" s="11"/>
      <c r="AL171" s="11"/>
      <c r="AM171" s="11"/>
      <c r="AN171" s="11"/>
      <c r="AO171" s="11"/>
      <c r="AP171" s="11"/>
      <c r="AQ171" s="11">
        <v>35</v>
      </c>
      <c r="AR171" s="11"/>
      <c r="AS171" s="11"/>
      <c r="AT171" s="11"/>
      <c r="AU171" s="11"/>
      <c r="AV171" s="11"/>
      <c r="AW171" s="20" t="str">
        <f>HYPERLINK("http://www.openstreetmap.org/?mlat=34.4174&amp;mlon=44.5849&amp;zoom=12#map=12/34.4174/44.5849","Maplink1")</f>
        <v>Maplink1</v>
      </c>
      <c r="AX171" s="20" t="str">
        <f>HYPERLINK("https://www.google.iq/maps/search/+34.4174,44.5849/@34.4174,44.5849,14z?hl=en","Maplink2")</f>
        <v>Maplink2</v>
      </c>
      <c r="AY171" s="20" t="str">
        <f>HYPERLINK("http://www.bing.com/maps/?lvl=14&amp;sty=h&amp;cp=34.4174~44.5849&amp;sp=point.34.4174_44.5849","Maplink3")</f>
        <v>Maplink3</v>
      </c>
    </row>
    <row r="172" spans="1:51" x14ac:dyDescent="0.25">
      <c r="A172" s="9">
        <v>11204</v>
      </c>
      <c r="B172" s="10" t="s">
        <v>13</v>
      </c>
      <c r="C172" s="10" t="s">
        <v>211</v>
      </c>
      <c r="D172" s="10" t="s">
        <v>235</v>
      </c>
      <c r="E172" s="10" t="s">
        <v>236</v>
      </c>
      <c r="F172" s="10">
        <v>34.2689076817</v>
      </c>
      <c r="G172" s="10">
        <v>44.5373975961</v>
      </c>
      <c r="H172" s="10" t="s">
        <v>213</v>
      </c>
      <c r="I172" s="10" t="s">
        <v>214</v>
      </c>
      <c r="J172" s="10" t="s">
        <v>237</v>
      </c>
      <c r="K172" s="11">
        <v>37</v>
      </c>
      <c r="L172" s="11">
        <v>222</v>
      </c>
      <c r="M172" s="11"/>
      <c r="N172" s="11"/>
      <c r="O172" s="11"/>
      <c r="P172" s="11"/>
      <c r="Q172" s="11"/>
      <c r="R172" s="11">
        <v>8</v>
      </c>
      <c r="S172" s="11"/>
      <c r="T172" s="11"/>
      <c r="U172" s="11">
        <v>27</v>
      </c>
      <c r="V172" s="11"/>
      <c r="W172" s="11"/>
      <c r="X172" s="11"/>
      <c r="Y172" s="11"/>
      <c r="Z172" s="11"/>
      <c r="AA172" s="11"/>
      <c r="AB172" s="11">
        <v>2</v>
      </c>
      <c r="AC172" s="11"/>
      <c r="AD172" s="11"/>
      <c r="AE172" s="11"/>
      <c r="AF172" s="11">
        <v>37</v>
      </c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>
        <v>37</v>
      </c>
      <c r="AR172" s="11"/>
      <c r="AS172" s="11"/>
      <c r="AT172" s="11"/>
      <c r="AU172" s="11"/>
      <c r="AV172" s="11"/>
      <c r="AW172" s="20" t="str">
        <f>HYPERLINK("http://www.openstreetmap.org/?mlat=34.2689&amp;mlon=44.5374&amp;zoom=12#map=12/34.2689/44.5374","Maplink1")</f>
        <v>Maplink1</v>
      </c>
      <c r="AX172" s="20" t="str">
        <f>HYPERLINK("https://www.google.iq/maps/search/+34.2689,44.5374/@34.2689,44.5374,14z?hl=en","Maplink2")</f>
        <v>Maplink2</v>
      </c>
      <c r="AY172" s="20" t="str">
        <f>HYPERLINK("http://www.bing.com/maps/?lvl=14&amp;sty=h&amp;cp=34.2689~44.5374&amp;sp=point.34.2689_44.5374","Maplink3")</f>
        <v>Maplink3</v>
      </c>
    </row>
    <row r="173" spans="1:51" x14ac:dyDescent="0.25">
      <c r="A173" s="9">
        <v>29562</v>
      </c>
      <c r="B173" s="10" t="s">
        <v>13</v>
      </c>
      <c r="C173" s="10" t="s">
        <v>211</v>
      </c>
      <c r="D173" s="10" t="s">
        <v>238</v>
      </c>
      <c r="E173" s="10" t="s">
        <v>239</v>
      </c>
      <c r="F173" s="10">
        <v>34.263737113200001</v>
      </c>
      <c r="G173" s="10">
        <v>44.531965591000002</v>
      </c>
      <c r="H173" s="10" t="s">
        <v>213</v>
      </c>
      <c r="I173" s="10" t="s">
        <v>214</v>
      </c>
      <c r="J173" s="10"/>
      <c r="K173" s="11">
        <v>15</v>
      </c>
      <c r="L173" s="11">
        <v>90</v>
      </c>
      <c r="M173" s="11"/>
      <c r="N173" s="11"/>
      <c r="O173" s="11"/>
      <c r="P173" s="11"/>
      <c r="Q173" s="11"/>
      <c r="R173" s="11">
        <v>15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>
        <v>15</v>
      </c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>
        <v>15</v>
      </c>
      <c r="AR173" s="11"/>
      <c r="AS173" s="11"/>
      <c r="AT173" s="11"/>
      <c r="AU173" s="11"/>
      <c r="AV173" s="11"/>
      <c r="AW173" s="20" t="str">
        <f>HYPERLINK("http://www.openstreetmap.org/?mlat=34.2637&amp;mlon=44.532&amp;zoom=12#map=12/34.2637/44.532","Maplink1")</f>
        <v>Maplink1</v>
      </c>
      <c r="AX173" s="20" t="str">
        <f>HYPERLINK("https://www.google.iq/maps/search/+34.2637,44.532/@34.2637,44.532,14z?hl=en","Maplink2")</f>
        <v>Maplink2</v>
      </c>
      <c r="AY173" s="20" t="str">
        <f>HYPERLINK("http://www.bing.com/maps/?lvl=14&amp;sty=h&amp;cp=34.2637~44.532&amp;sp=point.34.2637_44.532","Maplink3")</f>
        <v>Maplink3</v>
      </c>
    </row>
    <row r="174" spans="1:51" x14ac:dyDescent="0.25">
      <c r="A174" s="9">
        <v>26058</v>
      </c>
      <c r="B174" s="10" t="s">
        <v>13</v>
      </c>
      <c r="C174" s="10" t="s">
        <v>211</v>
      </c>
      <c r="D174" s="10" t="s">
        <v>1042</v>
      </c>
      <c r="E174" s="10" t="s">
        <v>295</v>
      </c>
      <c r="F174" s="10">
        <v>34.067715872100003</v>
      </c>
      <c r="G174" s="10">
        <v>44.865601128000002</v>
      </c>
      <c r="H174" s="10" t="s">
        <v>213</v>
      </c>
      <c r="I174" s="10" t="s">
        <v>214</v>
      </c>
      <c r="J174" s="10"/>
      <c r="K174" s="11">
        <v>271</v>
      </c>
      <c r="L174" s="11">
        <v>1626</v>
      </c>
      <c r="M174" s="11"/>
      <c r="N174" s="11"/>
      <c r="O174" s="11"/>
      <c r="P174" s="11"/>
      <c r="Q174" s="11"/>
      <c r="R174" s="11">
        <v>244</v>
      </c>
      <c r="S174" s="11"/>
      <c r="T174" s="11"/>
      <c r="U174" s="11">
        <v>17</v>
      </c>
      <c r="V174" s="11"/>
      <c r="W174" s="11"/>
      <c r="X174" s="11"/>
      <c r="Y174" s="11"/>
      <c r="Z174" s="11"/>
      <c r="AA174" s="11"/>
      <c r="AB174" s="11">
        <v>10</v>
      </c>
      <c r="AC174" s="11"/>
      <c r="AD174" s="11"/>
      <c r="AE174" s="11"/>
      <c r="AF174" s="11">
        <v>271</v>
      </c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>
        <v>271</v>
      </c>
      <c r="AR174" s="11"/>
      <c r="AS174" s="11"/>
      <c r="AT174" s="11"/>
      <c r="AU174" s="11"/>
      <c r="AV174" s="11"/>
      <c r="AW174" s="20" t="str">
        <f>HYPERLINK("http://www.openstreetmap.org/?mlat=34.0677&amp;mlon=44.8656&amp;zoom=12#map=12/34.0677/44.8656","Maplink1")</f>
        <v>Maplink1</v>
      </c>
      <c r="AX174" s="20" t="str">
        <f>HYPERLINK("https://www.google.iq/maps/search/+34.0677,44.8656/@34.0677,44.8656,14z?hl=en","Maplink2")</f>
        <v>Maplink2</v>
      </c>
      <c r="AY174" s="20" t="str">
        <f>HYPERLINK("http://www.bing.com/maps/?lvl=14&amp;sty=h&amp;cp=34.0677~44.8656&amp;sp=point.34.0677_44.8656","Maplink3")</f>
        <v>Maplink3</v>
      </c>
    </row>
    <row r="175" spans="1:51" x14ac:dyDescent="0.25">
      <c r="A175" s="9">
        <v>28463</v>
      </c>
      <c r="B175" s="10" t="s">
        <v>13</v>
      </c>
      <c r="C175" s="10" t="s">
        <v>211</v>
      </c>
      <c r="D175" s="10" t="s">
        <v>1421</v>
      </c>
      <c r="E175" s="10" t="s">
        <v>1422</v>
      </c>
      <c r="F175" s="10">
        <v>34.2456280273</v>
      </c>
      <c r="G175" s="10">
        <v>44.5161643864</v>
      </c>
      <c r="H175" s="10" t="s">
        <v>213</v>
      </c>
      <c r="I175" s="10" t="s">
        <v>214</v>
      </c>
      <c r="J175" s="10"/>
      <c r="K175" s="11">
        <v>74</v>
      </c>
      <c r="L175" s="11">
        <v>444</v>
      </c>
      <c r="M175" s="11"/>
      <c r="N175" s="11"/>
      <c r="O175" s="11"/>
      <c r="P175" s="11"/>
      <c r="Q175" s="11"/>
      <c r="R175" s="11">
        <v>63</v>
      </c>
      <c r="S175" s="11"/>
      <c r="T175" s="11"/>
      <c r="U175" s="11">
        <v>11</v>
      </c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>
        <v>74</v>
      </c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>
        <v>74</v>
      </c>
      <c r="AR175" s="11"/>
      <c r="AS175" s="11"/>
      <c r="AT175" s="11"/>
      <c r="AU175" s="11"/>
      <c r="AV175" s="11"/>
      <c r="AW175" s="20" t="str">
        <f>HYPERLINK("http://www.openstreetmap.org/?mlat=34.2456&amp;mlon=44.5162&amp;zoom=12#map=12/34.2456/44.5162","Maplink1")</f>
        <v>Maplink1</v>
      </c>
      <c r="AX175" s="20" t="str">
        <f>HYPERLINK("https://www.google.iq/maps/search/+34.2456,44.5162/@34.2456,44.5162,14z?hl=en","Maplink2")</f>
        <v>Maplink2</v>
      </c>
      <c r="AY175" s="20" t="str">
        <f>HYPERLINK("http://www.bing.com/maps/?lvl=14&amp;sty=h&amp;cp=34.2456~44.5162&amp;sp=point.34.2456_44.5162","Maplink3")</f>
        <v>Maplink3</v>
      </c>
    </row>
    <row r="176" spans="1:51" x14ac:dyDescent="0.25">
      <c r="A176" s="9">
        <v>28462</v>
      </c>
      <c r="B176" s="10" t="s">
        <v>13</v>
      </c>
      <c r="C176" s="10" t="s">
        <v>211</v>
      </c>
      <c r="D176" s="10" t="s">
        <v>1043</v>
      </c>
      <c r="E176" s="10" t="s">
        <v>240</v>
      </c>
      <c r="F176" s="10">
        <v>34.235486335600001</v>
      </c>
      <c r="G176" s="10">
        <v>44.517580922900002</v>
      </c>
      <c r="H176" s="10" t="s">
        <v>213</v>
      </c>
      <c r="I176" s="10" t="s">
        <v>214</v>
      </c>
      <c r="J176" s="10"/>
      <c r="K176" s="11">
        <v>110</v>
      </c>
      <c r="L176" s="11">
        <v>660</v>
      </c>
      <c r="M176" s="11"/>
      <c r="N176" s="11"/>
      <c r="O176" s="11"/>
      <c r="P176" s="11"/>
      <c r="Q176" s="11"/>
      <c r="R176" s="11">
        <v>85</v>
      </c>
      <c r="S176" s="11"/>
      <c r="T176" s="11"/>
      <c r="U176" s="11">
        <v>25</v>
      </c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>
        <v>110</v>
      </c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>
        <v>110</v>
      </c>
      <c r="AR176" s="11"/>
      <c r="AS176" s="11"/>
      <c r="AT176" s="11"/>
      <c r="AU176" s="11"/>
      <c r="AV176" s="11"/>
      <c r="AW176" s="20" t="str">
        <f>HYPERLINK("http://www.openstreetmap.org/?mlat=34.2355&amp;mlon=44.5176&amp;zoom=12#map=12/34.2355/44.5176","Maplink1")</f>
        <v>Maplink1</v>
      </c>
      <c r="AX176" s="20" t="str">
        <f>HYPERLINK("https://www.google.iq/maps/search/+34.2355,44.5176/@34.2355,44.5176,14z?hl=en","Maplink2")</f>
        <v>Maplink2</v>
      </c>
      <c r="AY176" s="20" t="str">
        <f>HYPERLINK("http://www.bing.com/maps/?lvl=14&amp;sty=h&amp;cp=34.2355~44.5176&amp;sp=point.34.2355_44.5176","Maplink3")</f>
        <v>Maplink3</v>
      </c>
    </row>
    <row r="177" spans="1:51" x14ac:dyDescent="0.25">
      <c r="A177" s="9">
        <v>27178</v>
      </c>
      <c r="B177" s="10" t="s">
        <v>13</v>
      </c>
      <c r="C177" s="10" t="s">
        <v>211</v>
      </c>
      <c r="D177" s="10" t="s">
        <v>241</v>
      </c>
      <c r="E177" s="10" t="s">
        <v>242</v>
      </c>
      <c r="F177" s="10">
        <v>34.035578684100003</v>
      </c>
      <c r="G177" s="10">
        <v>44.323432609599998</v>
      </c>
      <c r="H177" s="10" t="s">
        <v>213</v>
      </c>
      <c r="I177" s="10" t="s">
        <v>214</v>
      </c>
      <c r="J177" s="10"/>
      <c r="K177" s="11">
        <v>30</v>
      </c>
      <c r="L177" s="11">
        <v>180</v>
      </c>
      <c r="M177" s="11"/>
      <c r="N177" s="11"/>
      <c r="O177" s="11"/>
      <c r="P177" s="11"/>
      <c r="Q177" s="11"/>
      <c r="R177" s="11"/>
      <c r="S177" s="11"/>
      <c r="T177" s="11"/>
      <c r="U177" s="11">
        <v>30</v>
      </c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>
        <v>30</v>
      </c>
      <c r="AH177" s="11"/>
      <c r="AI177" s="11"/>
      <c r="AJ177" s="11"/>
      <c r="AK177" s="11"/>
      <c r="AL177" s="11"/>
      <c r="AM177" s="11"/>
      <c r="AN177" s="11"/>
      <c r="AO177" s="11"/>
      <c r="AP177" s="11"/>
      <c r="AQ177" s="11">
        <v>30</v>
      </c>
      <c r="AR177" s="11"/>
      <c r="AS177" s="11"/>
      <c r="AT177" s="11"/>
      <c r="AU177" s="11"/>
      <c r="AV177" s="11"/>
      <c r="AW177" s="20" t="str">
        <f>HYPERLINK("http://www.openstreetmap.org/?mlat=34.0356&amp;mlon=44.3234&amp;zoom=12#map=12/34.0356/44.3234","Maplink1")</f>
        <v>Maplink1</v>
      </c>
      <c r="AX177" s="20" t="str">
        <f>HYPERLINK("https://www.google.iq/maps/search/+34.0356,44.3234/@34.0356,44.3234,14z?hl=en","Maplink2")</f>
        <v>Maplink2</v>
      </c>
      <c r="AY177" s="20" t="str">
        <f>HYPERLINK("http://www.bing.com/maps/?lvl=14&amp;sty=h&amp;cp=34.0356~44.3234&amp;sp=point.34.0356_44.3234","Maplink3")</f>
        <v>Maplink3</v>
      </c>
    </row>
    <row r="178" spans="1:51" x14ac:dyDescent="0.25">
      <c r="A178" s="9">
        <v>29563</v>
      </c>
      <c r="B178" s="10" t="s">
        <v>13</v>
      </c>
      <c r="C178" s="10" t="s">
        <v>211</v>
      </c>
      <c r="D178" s="10" t="s">
        <v>243</v>
      </c>
      <c r="E178" s="10" t="s">
        <v>244</v>
      </c>
      <c r="F178" s="10">
        <v>34.263275144600001</v>
      </c>
      <c r="G178" s="10">
        <v>44.531798455900002</v>
      </c>
      <c r="H178" s="10" t="s">
        <v>213</v>
      </c>
      <c r="I178" s="10" t="s">
        <v>214</v>
      </c>
      <c r="J178" s="10"/>
      <c r="K178" s="11">
        <v>20</v>
      </c>
      <c r="L178" s="11">
        <v>120</v>
      </c>
      <c r="M178" s="11"/>
      <c r="N178" s="11"/>
      <c r="O178" s="11"/>
      <c r="P178" s="11"/>
      <c r="Q178" s="11"/>
      <c r="R178" s="11">
        <v>20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>
        <v>20</v>
      </c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>
        <v>20</v>
      </c>
      <c r="AR178" s="11"/>
      <c r="AS178" s="11"/>
      <c r="AT178" s="11"/>
      <c r="AU178" s="11"/>
      <c r="AV178" s="11"/>
      <c r="AW178" s="20" t="str">
        <f>HYPERLINK("http://www.openstreetmap.org/?mlat=34.2633&amp;mlon=44.5318&amp;zoom=12#map=12/34.2633/44.5318","Maplink1")</f>
        <v>Maplink1</v>
      </c>
      <c r="AX178" s="20" t="str">
        <f>HYPERLINK("https://www.google.iq/maps/search/+34.2633,44.5318/@34.2633,44.5318,14z?hl=en","Maplink2")</f>
        <v>Maplink2</v>
      </c>
      <c r="AY178" s="20" t="str">
        <f>HYPERLINK("http://www.bing.com/maps/?lvl=14&amp;sty=h&amp;cp=34.2633~44.5318&amp;sp=point.34.2633_44.5318","Maplink3")</f>
        <v>Maplink3</v>
      </c>
    </row>
    <row r="179" spans="1:51" x14ac:dyDescent="0.25">
      <c r="A179" s="9">
        <v>28467</v>
      </c>
      <c r="B179" s="10" t="s">
        <v>13</v>
      </c>
      <c r="C179" s="10" t="s">
        <v>211</v>
      </c>
      <c r="D179" s="10" t="s">
        <v>1423</v>
      </c>
      <c r="E179" s="10" t="s">
        <v>1424</v>
      </c>
      <c r="F179" s="10">
        <v>34.337264005400002</v>
      </c>
      <c r="G179" s="10">
        <v>44.561714407300002</v>
      </c>
      <c r="H179" s="10" t="s">
        <v>213</v>
      </c>
      <c r="I179" s="10" t="s">
        <v>214</v>
      </c>
      <c r="J179" s="10"/>
      <c r="K179" s="11">
        <v>75</v>
      </c>
      <c r="L179" s="11">
        <v>450</v>
      </c>
      <c r="M179" s="11"/>
      <c r="N179" s="11"/>
      <c r="O179" s="11"/>
      <c r="P179" s="11"/>
      <c r="Q179" s="11"/>
      <c r="R179" s="11">
        <v>70</v>
      </c>
      <c r="S179" s="11"/>
      <c r="T179" s="11"/>
      <c r="U179" s="11">
        <v>5</v>
      </c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>
        <v>75</v>
      </c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>
        <v>75</v>
      </c>
      <c r="AR179" s="11"/>
      <c r="AS179" s="11"/>
      <c r="AT179" s="11"/>
      <c r="AU179" s="11"/>
      <c r="AV179" s="11"/>
      <c r="AW179" s="20" t="str">
        <f>HYPERLINK("http://www.openstreetmap.org/?mlat=34.3373&amp;mlon=44.5617&amp;zoom=12#map=12/34.3373/44.5617","Maplink1")</f>
        <v>Maplink1</v>
      </c>
      <c r="AX179" s="20" t="str">
        <f>HYPERLINK("https://www.google.iq/maps/search/+34.3373,44.5617/@34.3373,44.5617,14z?hl=en","Maplink2")</f>
        <v>Maplink2</v>
      </c>
      <c r="AY179" s="20" t="str">
        <f>HYPERLINK("http://www.bing.com/maps/?lvl=14&amp;sty=h&amp;cp=34.3373~44.5617&amp;sp=point.34.3373_44.5617","Maplink3")</f>
        <v>Maplink3</v>
      </c>
    </row>
    <row r="180" spans="1:51" x14ac:dyDescent="0.25">
      <c r="A180" s="9">
        <v>29576</v>
      </c>
      <c r="B180" s="10" t="s">
        <v>13</v>
      </c>
      <c r="C180" s="10" t="s">
        <v>211</v>
      </c>
      <c r="D180" s="10" t="s">
        <v>829</v>
      </c>
      <c r="E180" s="10" t="s">
        <v>1425</v>
      </c>
      <c r="F180" s="10">
        <v>34.360770243799998</v>
      </c>
      <c r="G180" s="10">
        <v>44.557405068500003</v>
      </c>
      <c r="H180" s="10" t="s">
        <v>213</v>
      </c>
      <c r="I180" s="10" t="s">
        <v>214</v>
      </c>
      <c r="J180" s="10"/>
      <c r="K180" s="11">
        <v>145</v>
      </c>
      <c r="L180" s="11">
        <v>870</v>
      </c>
      <c r="M180" s="11"/>
      <c r="N180" s="11"/>
      <c r="O180" s="11"/>
      <c r="P180" s="11"/>
      <c r="Q180" s="11"/>
      <c r="R180" s="11"/>
      <c r="S180" s="11">
        <v>15</v>
      </c>
      <c r="T180" s="11"/>
      <c r="U180" s="11">
        <v>105</v>
      </c>
      <c r="V180" s="11"/>
      <c r="W180" s="11"/>
      <c r="X180" s="11"/>
      <c r="Y180" s="11"/>
      <c r="Z180" s="11"/>
      <c r="AA180" s="11"/>
      <c r="AB180" s="11">
        <v>25</v>
      </c>
      <c r="AC180" s="11"/>
      <c r="AD180" s="11"/>
      <c r="AE180" s="11"/>
      <c r="AF180" s="11">
        <v>145</v>
      </c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>
        <v>145</v>
      </c>
      <c r="AR180" s="11"/>
      <c r="AS180" s="11"/>
      <c r="AT180" s="11"/>
      <c r="AU180" s="11"/>
      <c r="AV180" s="11"/>
      <c r="AW180" s="20" t="str">
        <f>HYPERLINK("http://www.openstreetmap.org/?mlat=34.3608&amp;mlon=44.5574&amp;zoom=12#map=12/34.3608/44.5574","Maplink1")</f>
        <v>Maplink1</v>
      </c>
      <c r="AX180" s="20" t="str">
        <f>HYPERLINK("https://www.google.iq/maps/search/+34.3608,44.5574/@34.3608,44.5574,14z?hl=en","Maplink2")</f>
        <v>Maplink2</v>
      </c>
      <c r="AY180" s="20" t="str">
        <f>HYPERLINK("http://www.bing.com/maps/?lvl=14&amp;sty=h&amp;cp=34.3608~44.5574&amp;sp=point.34.3608_44.5574","Maplink3")</f>
        <v>Maplink3</v>
      </c>
    </row>
    <row r="181" spans="1:51" x14ac:dyDescent="0.25">
      <c r="A181" s="9">
        <v>27164</v>
      </c>
      <c r="B181" s="10" t="s">
        <v>13</v>
      </c>
      <c r="C181" s="10" t="s">
        <v>211</v>
      </c>
      <c r="D181" s="10" t="s">
        <v>1044</v>
      </c>
      <c r="E181" s="10" t="s">
        <v>257</v>
      </c>
      <c r="F181" s="10">
        <v>34.3364537908</v>
      </c>
      <c r="G181" s="10">
        <v>44.6387005845</v>
      </c>
      <c r="H181" s="10" t="s">
        <v>213</v>
      </c>
      <c r="I181" s="10" t="s">
        <v>214</v>
      </c>
      <c r="J181" s="10"/>
      <c r="K181" s="11">
        <v>10</v>
      </c>
      <c r="L181" s="11">
        <v>60</v>
      </c>
      <c r="M181" s="11"/>
      <c r="N181" s="11"/>
      <c r="O181" s="11"/>
      <c r="P181" s="11"/>
      <c r="Q181" s="11"/>
      <c r="R181" s="11"/>
      <c r="S181" s="11"/>
      <c r="T181" s="11"/>
      <c r="U181" s="11">
        <v>10</v>
      </c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>
        <v>10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1">
        <v>10</v>
      </c>
      <c r="AR181" s="11"/>
      <c r="AS181" s="11"/>
      <c r="AT181" s="11"/>
      <c r="AU181" s="11"/>
      <c r="AV181" s="11"/>
      <c r="AW181" s="20" t="str">
        <f>HYPERLINK("http://www.openstreetmap.org/?mlat=34.3365&amp;mlon=44.6387&amp;zoom=12#map=12/34.3365/44.6387","Maplink1")</f>
        <v>Maplink1</v>
      </c>
      <c r="AX181" s="20" t="str">
        <f>HYPERLINK("https://www.google.iq/maps/search/+34.3365,44.6387/@34.3365,44.6387,14z?hl=en","Maplink2")</f>
        <v>Maplink2</v>
      </c>
      <c r="AY181" s="20" t="str">
        <f>HYPERLINK("http://www.bing.com/maps/?lvl=14&amp;sty=h&amp;cp=34.3365~44.6387&amp;sp=point.34.3365_44.6387","Maplink3")</f>
        <v>Maplink3</v>
      </c>
    </row>
    <row r="182" spans="1:51" x14ac:dyDescent="0.25">
      <c r="A182" s="9">
        <v>27163</v>
      </c>
      <c r="B182" s="10" t="s">
        <v>13</v>
      </c>
      <c r="C182" s="10" t="s">
        <v>211</v>
      </c>
      <c r="D182" s="10" t="s">
        <v>253</v>
      </c>
      <c r="E182" s="10" t="s">
        <v>254</v>
      </c>
      <c r="F182" s="10">
        <v>34.364341939500001</v>
      </c>
      <c r="G182" s="10">
        <v>44.631110964699999</v>
      </c>
      <c r="H182" s="10" t="s">
        <v>213</v>
      </c>
      <c r="I182" s="10" t="s">
        <v>214</v>
      </c>
      <c r="J182" s="10"/>
      <c r="K182" s="11">
        <v>8</v>
      </c>
      <c r="L182" s="11">
        <v>48</v>
      </c>
      <c r="M182" s="11"/>
      <c r="N182" s="11"/>
      <c r="O182" s="11"/>
      <c r="P182" s="11"/>
      <c r="Q182" s="11"/>
      <c r="R182" s="11"/>
      <c r="S182" s="11"/>
      <c r="T182" s="11"/>
      <c r="U182" s="11">
        <v>8</v>
      </c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>
        <v>8</v>
      </c>
      <c r="AH182" s="11"/>
      <c r="AI182" s="11"/>
      <c r="AJ182" s="11"/>
      <c r="AK182" s="11"/>
      <c r="AL182" s="11"/>
      <c r="AM182" s="11"/>
      <c r="AN182" s="11"/>
      <c r="AO182" s="11"/>
      <c r="AP182" s="11"/>
      <c r="AQ182" s="11">
        <v>8</v>
      </c>
      <c r="AR182" s="11"/>
      <c r="AS182" s="11"/>
      <c r="AT182" s="11"/>
      <c r="AU182" s="11"/>
      <c r="AV182" s="11"/>
      <c r="AW182" s="20" t="str">
        <f>HYPERLINK("http://www.openstreetmap.org/?mlat=34.3643&amp;mlon=44.6311&amp;zoom=12#map=12/34.3643/44.6311","Maplink1")</f>
        <v>Maplink1</v>
      </c>
      <c r="AX182" s="20" t="str">
        <f>HYPERLINK("https://www.google.iq/maps/search/+34.3643,44.6311/@34.3643,44.6311,14z?hl=en","Maplink2")</f>
        <v>Maplink2</v>
      </c>
      <c r="AY182" s="20" t="str">
        <f>HYPERLINK("http://www.bing.com/maps/?lvl=14&amp;sty=h&amp;cp=34.3643~44.6311&amp;sp=point.34.3643_44.6311","Maplink3")</f>
        <v>Maplink3</v>
      </c>
    </row>
    <row r="183" spans="1:51" x14ac:dyDescent="0.25">
      <c r="A183" s="9">
        <v>27173</v>
      </c>
      <c r="B183" s="10" t="s">
        <v>13</v>
      </c>
      <c r="C183" s="10" t="s">
        <v>211</v>
      </c>
      <c r="D183" s="10" t="s">
        <v>255</v>
      </c>
      <c r="E183" s="10" t="s">
        <v>256</v>
      </c>
      <c r="F183" s="10">
        <v>34.212885186400001</v>
      </c>
      <c r="G183" s="10">
        <v>44.508423904300003</v>
      </c>
      <c r="H183" s="10" t="s">
        <v>213</v>
      </c>
      <c r="I183" s="10" t="s">
        <v>214</v>
      </c>
      <c r="J183" s="10"/>
      <c r="K183" s="11">
        <v>13</v>
      </c>
      <c r="L183" s="11">
        <v>78</v>
      </c>
      <c r="M183" s="11"/>
      <c r="N183" s="11"/>
      <c r="O183" s="11"/>
      <c r="P183" s="11"/>
      <c r="Q183" s="11"/>
      <c r="R183" s="11"/>
      <c r="S183" s="11"/>
      <c r="T183" s="11"/>
      <c r="U183" s="11">
        <v>13</v>
      </c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>
        <v>13</v>
      </c>
      <c r="AH183" s="11"/>
      <c r="AI183" s="11"/>
      <c r="AJ183" s="11"/>
      <c r="AK183" s="11"/>
      <c r="AL183" s="11"/>
      <c r="AM183" s="11"/>
      <c r="AN183" s="11"/>
      <c r="AO183" s="11"/>
      <c r="AP183" s="11"/>
      <c r="AQ183" s="11">
        <v>13</v>
      </c>
      <c r="AR183" s="11"/>
      <c r="AS183" s="11"/>
      <c r="AT183" s="11"/>
      <c r="AU183" s="11"/>
      <c r="AV183" s="11"/>
      <c r="AW183" s="20" t="str">
        <f>HYPERLINK("http://www.openstreetmap.org/?mlat=34.2129&amp;mlon=44.5084&amp;zoom=12#map=12/34.2129/44.5084","Maplink1")</f>
        <v>Maplink1</v>
      </c>
      <c r="AX183" s="20" t="str">
        <f>HYPERLINK("https://www.google.iq/maps/search/+34.2129,44.5084/@34.2129,44.5084,14z?hl=en","Maplink2")</f>
        <v>Maplink2</v>
      </c>
      <c r="AY183" s="20" t="str">
        <f>HYPERLINK("http://www.bing.com/maps/?lvl=14&amp;sty=h&amp;cp=34.2129~44.5084&amp;sp=point.34.2129_44.5084","Maplink3")</f>
        <v>Maplink3</v>
      </c>
    </row>
    <row r="184" spans="1:51" x14ac:dyDescent="0.25">
      <c r="A184" s="9">
        <v>29610</v>
      </c>
      <c r="B184" s="10" t="s">
        <v>13</v>
      </c>
      <c r="C184" s="10" t="s">
        <v>211</v>
      </c>
      <c r="D184" s="10" t="s">
        <v>1045</v>
      </c>
      <c r="E184" s="10" t="s">
        <v>1046</v>
      </c>
      <c r="F184" s="10">
        <v>34.500739099999997</v>
      </c>
      <c r="G184" s="10">
        <v>44.5484103</v>
      </c>
      <c r="H184" s="10" t="s">
        <v>213</v>
      </c>
      <c r="I184" s="10" t="s">
        <v>214</v>
      </c>
      <c r="J184" s="10"/>
      <c r="K184" s="11">
        <v>70</v>
      </c>
      <c r="L184" s="11">
        <v>420</v>
      </c>
      <c r="M184" s="11"/>
      <c r="N184" s="11"/>
      <c r="O184" s="11"/>
      <c r="P184" s="11"/>
      <c r="Q184" s="11"/>
      <c r="R184" s="11"/>
      <c r="S184" s="11"/>
      <c r="T184" s="11"/>
      <c r="U184" s="11">
        <v>70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>
        <v>70</v>
      </c>
      <c r="AP184" s="11"/>
      <c r="AQ184" s="11">
        <v>70</v>
      </c>
      <c r="AR184" s="11"/>
      <c r="AS184" s="11"/>
      <c r="AT184" s="11"/>
      <c r="AU184" s="11"/>
      <c r="AV184" s="11"/>
      <c r="AW184" s="20" t="str">
        <f>HYPERLINK("http://www.openstreetmap.org/?mlat=34.5007&amp;mlon=44.5484&amp;zoom=12#map=12/34.5007/44.5484","Maplink1")</f>
        <v>Maplink1</v>
      </c>
      <c r="AX184" s="20" t="str">
        <f>HYPERLINK("https://www.google.iq/maps/search/+34.5007,44.5484/@34.5007,44.5484,14z?hl=en","Maplink2")</f>
        <v>Maplink2</v>
      </c>
      <c r="AY184" s="20" t="str">
        <f>HYPERLINK("http://www.bing.com/maps/?lvl=14&amp;sty=h&amp;cp=34.5007~44.5484&amp;sp=point.34.5007_44.5484","Maplink3")</f>
        <v>Maplink3</v>
      </c>
    </row>
    <row r="185" spans="1:51" x14ac:dyDescent="0.25">
      <c r="A185" s="9">
        <v>27172</v>
      </c>
      <c r="B185" s="10" t="s">
        <v>13</v>
      </c>
      <c r="C185" s="10" t="s">
        <v>211</v>
      </c>
      <c r="D185" s="10" t="s">
        <v>774</v>
      </c>
      <c r="E185" s="10" t="s">
        <v>897</v>
      </c>
      <c r="F185" s="10">
        <v>34.093143752099998</v>
      </c>
      <c r="G185" s="10">
        <v>44.419593386199999</v>
      </c>
      <c r="H185" s="10" t="s">
        <v>213</v>
      </c>
      <c r="I185" s="10" t="s">
        <v>214</v>
      </c>
      <c r="J185" s="10"/>
      <c r="K185" s="11">
        <v>15</v>
      </c>
      <c r="L185" s="11">
        <v>90</v>
      </c>
      <c r="M185" s="11"/>
      <c r="N185" s="11"/>
      <c r="O185" s="11"/>
      <c r="P185" s="11"/>
      <c r="Q185" s="11"/>
      <c r="R185" s="11"/>
      <c r="S185" s="11"/>
      <c r="T185" s="11"/>
      <c r="U185" s="11">
        <v>15</v>
      </c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>
        <v>15</v>
      </c>
      <c r="AH185" s="11"/>
      <c r="AI185" s="11"/>
      <c r="AJ185" s="11"/>
      <c r="AK185" s="11"/>
      <c r="AL185" s="11"/>
      <c r="AM185" s="11"/>
      <c r="AN185" s="11"/>
      <c r="AO185" s="11"/>
      <c r="AP185" s="11"/>
      <c r="AQ185" s="11">
        <v>15</v>
      </c>
      <c r="AR185" s="11"/>
      <c r="AS185" s="11"/>
      <c r="AT185" s="11"/>
      <c r="AU185" s="11"/>
      <c r="AV185" s="11"/>
      <c r="AW185" s="20" t="str">
        <f>HYPERLINK("http://www.openstreetmap.org/?mlat=34.0931&amp;mlon=44.4196&amp;zoom=12#map=12/34.0931/44.4196","Maplink1")</f>
        <v>Maplink1</v>
      </c>
      <c r="AX185" s="20" t="str">
        <f>HYPERLINK("https://www.google.iq/maps/search/+34.0931,44.4196/@34.0931,44.4196,14z?hl=en","Maplink2")</f>
        <v>Maplink2</v>
      </c>
      <c r="AY185" s="20" t="str">
        <f>HYPERLINK("http://www.bing.com/maps/?lvl=14&amp;sty=h&amp;cp=34.0931~44.4196&amp;sp=point.34.0931_44.4196","Maplink3")</f>
        <v>Maplink3</v>
      </c>
    </row>
    <row r="186" spans="1:51" x14ac:dyDescent="0.25">
      <c r="A186" s="9">
        <v>29616</v>
      </c>
      <c r="B186" s="10" t="s">
        <v>13</v>
      </c>
      <c r="C186" s="10" t="s">
        <v>211</v>
      </c>
      <c r="D186" s="10" t="s">
        <v>1047</v>
      </c>
      <c r="E186" s="10" t="s">
        <v>1048</v>
      </c>
      <c r="F186" s="10">
        <v>34.414540000000002</v>
      </c>
      <c r="G186" s="10">
        <v>44.593470000000003</v>
      </c>
      <c r="H186" s="10" t="s">
        <v>213</v>
      </c>
      <c r="I186" s="10" t="s">
        <v>214</v>
      </c>
      <c r="J186" s="10"/>
      <c r="K186" s="11">
        <v>26</v>
      </c>
      <c r="L186" s="11">
        <v>156</v>
      </c>
      <c r="M186" s="11"/>
      <c r="N186" s="11"/>
      <c r="O186" s="11"/>
      <c r="P186" s="11"/>
      <c r="Q186" s="11"/>
      <c r="R186" s="11"/>
      <c r="S186" s="11"/>
      <c r="T186" s="11"/>
      <c r="U186" s="11">
        <v>26</v>
      </c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>
        <v>26</v>
      </c>
      <c r="AO186" s="11"/>
      <c r="AP186" s="11"/>
      <c r="AQ186" s="11">
        <v>26</v>
      </c>
      <c r="AR186" s="11"/>
      <c r="AS186" s="11"/>
      <c r="AT186" s="11"/>
      <c r="AU186" s="11"/>
      <c r="AV186" s="11"/>
      <c r="AW186" s="20" t="str">
        <f>HYPERLINK("http://www.openstreetmap.org/?mlat=34.4145&amp;mlon=44.5935&amp;zoom=12#map=12/34.4145/44.5935","Maplink1")</f>
        <v>Maplink1</v>
      </c>
      <c r="AX186" s="20" t="str">
        <f>HYPERLINK("https://www.google.iq/maps/search/+34.4145,44.5935/@34.4145,44.5935,14z?hl=en","Maplink2")</f>
        <v>Maplink2</v>
      </c>
      <c r="AY186" s="20" t="str">
        <f>HYPERLINK("http://www.bing.com/maps/?lvl=14&amp;sty=h&amp;cp=34.4145~44.5935&amp;sp=point.34.4145_44.5935","Maplink3")</f>
        <v>Maplink3</v>
      </c>
    </row>
    <row r="187" spans="1:51" x14ac:dyDescent="0.25">
      <c r="A187" s="9">
        <v>28466</v>
      </c>
      <c r="B187" s="10" t="s">
        <v>13</v>
      </c>
      <c r="C187" s="10" t="s">
        <v>211</v>
      </c>
      <c r="D187" s="10" t="s">
        <v>258</v>
      </c>
      <c r="E187" s="10" t="s">
        <v>259</v>
      </c>
      <c r="F187" s="10">
        <v>34.328399032299998</v>
      </c>
      <c r="G187" s="10">
        <v>44.5418022462</v>
      </c>
      <c r="H187" s="10" t="s">
        <v>213</v>
      </c>
      <c r="I187" s="10" t="s">
        <v>214</v>
      </c>
      <c r="J187" s="10"/>
      <c r="K187" s="11">
        <v>22</v>
      </c>
      <c r="L187" s="11">
        <v>132</v>
      </c>
      <c r="M187" s="11"/>
      <c r="N187" s="11"/>
      <c r="O187" s="11"/>
      <c r="P187" s="11"/>
      <c r="Q187" s="11"/>
      <c r="R187" s="11">
        <v>22</v>
      </c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>
        <v>22</v>
      </c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v>22</v>
      </c>
      <c r="AR187" s="11"/>
      <c r="AS187" s="11"/>
      <c r="AT187" s="11"/>
      <c r="AU187" s="11"/>
      <c r="AV187" s="11"/>
      <c r="AW187" s="20" t="str">
        <f>HYPERLINK("http://www.openstreetmap.org/?mlat=34.3284&amp;mlon=44.5418&amp;zoom=12#map=12/34.3284/44.5418","Maplink1")</f>
        <v>Maplink1</v>
      </c>
      <c r="AX187" s="20" t="str">
        <f>HYPERLINK("https://www.google.iq/maps/search/+34.3284,44.5418/@34.3284,44.5418,14z?hl=en","Maplink2")</f>
        <v>Maplink2</v>
      </c>
      <c r="AY187" s="20" t="str">
        <f>HYPERLINK("http://www.bing.com/maps/?lvl=14&amp;sty=h&amp;cp=34.3284~44.5418&amp;sp=point.34.3284_44.5418","Maplink3")</f>
        <v>Maplink3</v>
      </c>
    </row>
    <row r="188" spans="1:51" x14ac:dyDescent="0.25">
      <c r="A188" s="9">
        <v>28468</v>
      </c>
      <c r="B188" s="10" t="s">
        <v>13</v>
      </c>
      <c r="C188" s="10" t="s">
        <v>211</v>
      </c>
      <c r="D188" s="10" t="s">
        <v>775</v>
      </c>
      <c r="E188" s="10" t="s">
        <v>260</v>
      </c>
      <c r="F188" s="10">
        <v>34.280336568099997</v>
      </c>
      <c r="G188" s="10">
        <v>44.534062289700003</v>
      </c>
      <c r="H188" s="10" t="s">
        <v>213</v>
      </c>
      <c r="I188" s="10" t="s">
        <v>214</v>
      </c>
      <c r="J188" s="10"/>
      <c r="K188" s="11">
        <v>31</v>
      </c>
      <c r="L188" s="11">
        <v>186</v>
      </c>
      <c r="M188" s="11"/>
      <c r="N188" s="11"/>
      <c r="O188" s="11"/>
      <c r="P188" s="11"/>
      <c r="Q188" s="11"/>
      <c r="R188" s="11">
        <v>31</v>
      </c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>
        <v>31</v>
      </c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>
        <v>31</v>
      </c>
      <c r="AR188" s="11"/>
      <c r="AS188" s="11"/>
      <c r="AT188" s="11"/>
      <c r="AU188" s="11"/>
      <c r="AV188" s="11"/>
      <c r="AW188" s="20" t="str">
        <f>HYPERLINK("http://www.openstreetmap.org/?mlat=34.2803&amp;mlon=44.5341&amp;zoom=12#map=12/34.2803/44.5341","Maplink1")</f>
        <v>Maplink1</v>
      </c>
      <c r="AX188" s="20" t="str">
        <f>HYPERLINK("https://www.google.iq/maps/search/+34.2803,44.5341/@34.2803,44.5341,14z?hl=en","Maplink2")</f>
        <v>Maplink2</v>
      </c>
      <c r="AY188" s="20" t="str">
        <f>HYPERLINK("http://www.bing.com/maps/?lvl=14&amp;sty=h&amp;cp=34.2803~44.5341&amp;sp=point.34.2803_44.5341","Maplink3")</f>
        <v>Maplink3</v>
      </c>
    </row>
    <row r="189" spans="1:51" x14ac:dyDescent="0.25">
      <c r="A189" s="9">
        <v>28464</v>
      </c>
      <c r="B189" s="10" t="s">
        <v>13</v>
      </c>
      <c r="C189" s="10" t="s">
        <v>211</v>
      </c>
      <c r="D189" s="10" t="s">
        <v>261</v>
      </c>
      <c r="E189" s="10" t="s">
        <v>262</v>
      </c>
      <c r="F189" s="10">
        <v>34.242244963399997</v>
      </c>
      <c r="G189" s="10">
        <v>44.519084295900001</v>
      </c>
      <c r="H189" s="10" t="s">
        <v>213</v>
      </c>
      <c r="I189" s="10" t="s">
        <v>214</v>
      </c>
      <c r="J189" s="10"/>
      <c r="K189" s="11">
        <v>38</v>
      </c>
      <c r="L189" s="11">
        <v>228</v>
      </c>
      <c r="M189" s="11"/>
      <c r="N189" s="11"/>
      <c r="O189" s="11"/>
      <c r="P189" s="11"/>
      <c r="Q189" s="11"/>
      <c r="R189" s="11">
        <v>38</v>
      </c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>
        <v>38</v>
      </c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>
        <v>38</v>
      </c>
      <c r="AR189" s="11"/>
      <c r="AS189" s="11"/>
      <c r="AT189" s="11"/>
      <c r="AU189" s="11"/>
      <c r="AV189" s="11"/>
      <c r="AW189" s="20" t="str">
        <f>HYPERLINK("http://www.openstreetmap.org/?mlat=34.2422&amp;mlon=44.5191&amp;zoom=12#map=12/34.2422/44.5191","Maplink1")</f>
        <v>Maplink1</v>
      </c>
      <c r="AX189" s="20" t="str">
        <f>HYPERLINK("https://www.google.iq/maps/search/+34.2422,44.5191/@34.2422,44.5191,14z?hl=en","Maplink2")</f>
        <v>Maplink2</v>
      </c>
      <c r="AY189" s="20" t="str">
        <f>HYPERLINK("http://www.bing.com/maps/?lvl=14&amp;sty=h&amp;cp=34.2422~44.5191&amp;sp=point.34.2422_44.5191","Maplink3")</f>
        <v>Maplink3</v>
      </c>
    </row>
    <row r="190" spans="1:51" x14ac:dyDescent="0.25">
      <c r="A190" s="9">
        <v>27174</v>
      </c>
      <c r="B190" s="10" t="s">
        <v>13</v>
      </c>
      <c r="C190" s="10" t="s">
        <v>211</v>
      </c>
      <c r="D190" s="10" t="s">
        <v>263</v>
      </c>
      <c r="E190" s="10" t="s">
        <v>264</v>
      </c>
      <c r="F190" s="10">
        <v>34.040211944699998</v>
      </c>
      <c r="G190" s="10">
        <v>44.371946553199997</v>
      </c>
      <c r="H190" s="10" t="s">
        <v>213</v>
      </c>
      <c r="I190" s="10" t="s">
        <v>214</v>
      </c>
      <c r="J190" s="10"/>
      <c r="K190" s="11">
        <v>140</v>
      </c>
      <c r="L190" s="11">
        <v>840</v>
      </c>
      <c r="M190" s="11"/>
      <c r="N190" s="11"/>
      <c r="O190" s="11"/>
      <c r="P190" s="11"/>
      <c r="Q190" s="11"/>
      <c r="R190" s="11"/>
      <c r="S190" s="11"/>
      <c r="T190" s="11"/>
      <c r="U190" s="11">
        <v>140</v>
      </c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>
        <v>140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>
        <v>140</v>
      </c>
      <c r="AR190" s="11"/>
      <c r="AS190" s="11"/>
      <c r="AT190" s="11"/>
      <c r="AU190" s="11"/>
      <c r="AV190" s="11"/>
      <c r="AW190" s="20" t="str">
        <f>HYPERLINK("http://www.openstreetmap.org/?mlat=34.0402&amp;mlon=44.3719&amp;zoom=12#map=12/34.0402/44.3719","Maplink1")</f>
        <v>Maplink1</v>
      </c>
      <c r="AX190" s="20" t="str">
        <f>HYPERLINK("https://www.google.iq/maps/search/+34.0402,44.3719/@34.0402,44.3719,14z?hl=en","Maplink2")</f>
        <v>Maplink2</v>
      </c>
      <c r="AY190" s="20" t="str">
        <f>HYPERLINK("http://www.bing.com/maps/?lvl=14&amp;sty=h&amp;cp=34.0402~44.3719&amp;sp=point.34.0402_44.3719","Maplink3")</f>
        <v>Maplink3</v>
      </c>
    </row>
    <row r="191" spans="1:51" x14ac:dyDescent="0.25">
      <c r="A191" s="9">
        <v>27157</v>
      </c>
      <c r="B191" s="10" t="s">
        <v>13</v>
      </c>
      <c r="C191" s="10" t="s">
        <v>211</v>
      </c>
      <c r="D191" s="10" t="s">
        <v>1049</v>
      </c>
      <c r="E191" s="10" t="s">
        <v>217</v>
      </c>
      <c r="F191" s="10">
        <v>34.2330262272</v>
      </c>
      <c r="G191" s="10">
        <v>44.527980417499997</v>
      </c>
      <c r="H191" s="10" t="s">
        <v>213</v>
      </c>
      <c r="I191" s="10" t="s">
        <v>214</v>
      </c>
      <c r="J191" s="10"/>
      <c r="K191" s="11">
        <v>17</v>
      </c>
      <c r="L191" s="11">
        <v>102</v>
      </c>
      <c r="M191" s="11"/>
      <c r="N191" s="11"/>
      <c r="O191" s="11"/>
      <c r="P191" s="11"/>
      <c r="Q191" s="11"/>
      <c r="R191" s="11"/>
      <c r="S191" s="11"/>
      <c r="T191" s="11"/>
      <c r="U191" s="11">
        <v>17</v>
      </c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>
        <v>17</v>
      </c>
      <c r="AH191" s="11"/>
      <c r="AI191" s="11"/>
      <c r="AJ191" s="11"/>
      <c r="AK191" s="11"/>
      <c r="AL191" s="11"/>
      <c r="AM191" s="11"/>
      <c r="AN191" s="11"/>
      <c r="AO191" s="11"/>
      <c r="AP191" s="11"/>
      <c r="AQ191" s="11">
        <v>17</v>
      </c>
      <c r="AR191" s="11"/>
      <c r="AS191" s="11"/>
      <c r="AT191" s="11"/>
      <c r="AU191" s="11"/>
      <c r="AV191" s="11"/>
      <c r="AW191" s="20" t="str">
        <f>HYPERLINK("http://www.openstreetmap.org/?mlat=34.233&amp;mlon=44.528&amp;zoom=12#map=12/34.233/44.528","Maplink1")</f>
        <v>Maplink1</v>
      </c>
      <c r="AX191" s="20" t="str">
        <f>HYPERLINK("https://www.google.iq/maps/search/+34.233,44.528/@34.233,44.528,14z?hl=en","Maplink2")</f>
        <v>Maplink2</v>
      </c>
      <c r="AY191" s="20" t="str">
        <f>HYPERLINK("http://www.bing.com/maps/?lvl=14&amp;sty=h&amp;cp=34.233~44.528&amp;sp=point.34.233_44.528","Maplink3")</f>
        <v>Maplink3</v>
      </c>
    </row>
    <row r="192" spans="1:51" x14ac:dyDescent="0.25">
      <c r="A192" s="9">
        <v>27183</v>
      </c>
      <c r="B192" s="10" t="s">
        <v>13</v>
      </c>
      <c r="C192" s="10" t="s">
        <v>211</v>
      </c>
      <c r="D192" s="10" t="s">
        <v>265</v>
      </c>
      <c r="E192" s="10" t="s">
        <v>266</v>
      </c>
      <c r="F192" s="10">
        <v>34.216574974099998</v>
      </c>
      <c r="G192" s="10">
        <v>44.520291383100002</v>
      </c>
      <c r="H192" s="10" t="s">
        <v>213</v>
      </c>
      <c r="I192" s="10" t="s">
        <v>214</v>
      </c>
      <c r="J192" s="10"/>
      <c r="K192" s="11">
        <v>17</v>
      </c>
      <c r="L192" s="11">
        <v>102</v>
      </c>
      <c r="M192" s="11"/>
      <c r="N192" s="11"/>
      <c r="O192" s="11"/>
      <c r="P192" s="11"/>
      <c r="Q192" s="11"/>
      <c r="R192" s="11"/>
      <c r="S192" s="11"/>
      <c r="T192" s="11"/>
      <c r="U192" s="11">
        <v>17</v>
      </c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>
        <v>17</v>
      </c>
      <c r="AH192" s="11"/>
      <c r="AI192" s="11"/>
      <c r="AJ192" s="11"/>
      <c r="AK192" s="11"/>
      <c r="AL192" s="11"/>
      <c r="AM192" s="11"/>
      <c r="AN192" s="11"/>
      <c r="AO192" s="11"/>
      <c r="AP192" s="11"/>
      <c r="AQ192" s="11">
        <v>17</v>
      </c>
      <c r="AR192" s="11"/>
      <c r="AS192" s="11"/>
      <c r="AT192" s="11"/>
      <c r="AU192" s="11"/>
      <c r="AV192" s="11"/>
      <c r="AW192" s="20" t="str">
        <f>HYPERLINK("http://www.openstreetmap.org/?mlat=34.2166&amp;mlon=44.5203&amp;zoom=12#map=12/34.2166/44.5203","Maplink1")</f>
        <v>Maplink1</v>
      </c>
      <c r="AX192" s="20" t="str">
        <f>HYPERLINK("https://www.google.iq/maps/search/+34.2166,44.5203/@34.2166,44.5203,14z?hl=en","Maplink2")</f>
        <v>Maplink2</v>
      </c>
      <c r="AY192" s="20" t="str">
        <f>HYPERLINK("http://www.bing.com/maps/?lvl=14&amp;sty=h&amp;cp=34.2166~44.5203&amp;sp=point.34.2166_44.5203","Maplink3")</f>
        <v>Maplink3</v>
      </c>
    </row>
    <row r="193" spans="1:51" x14ac:dyDescent="0.25">
      <c r="A193" s="9">
        <v>23498</v>
      </c>
      <c r="B193" s="10" t="s">
        <v>13</v>
      </c>
      <c r="C193" s="10" t="s">
        <v>211</v>
      </c>
      <c r="D193" s="10" t="s">
        <v>267</v>
      </c>
      <c r="E193" s="10" t="s">
        <v>268</v>
      </c>
      <c r="F193" s="10">
        <v>34.369550467300002</v>
      </c>
      <c r="G193" s="10">
        <v>44.613803772499999</v>
      </c>
      <c r="H193" s="10" t="s">
        <v>213</v>
      </c>
      <c r="I193" s="10" t="s">
        <v>214</v>
      </c>
      <c r="J193" s="10" t="s">
        <v>269</v>
      </c>
      <c r="K193" s="11">
        <v>10</v>
      </c>
      <c r="L193" s="11">
        <v>60</v>
      </c>
      <c r="M193" s="11"/>
      <c r="N193" s="11"/>
      <c r="O193" s="11"/>
      <c r="P193" s="11"/>
      <c r="Q193" s="11"/>
      <c r="R193" s="11"/>
      <c r="S193" s="11"/>
      <c r="T193" s="11"/>
      <c r="U193" s="11">
        <v>10</v>
      </c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>
        <v>10</v>
      </c>
      <c r="AH193" s="11"/>
      <c r="AI193" s="11"/>
      <c r="AJ193" s="11"/>
      <c r="AK193" s="11"/>
      <c r="AL193" s="11"/>
      <c r="AM193" s="11"/>
      <c r="AN193" s="11"/>
      <c r="AO193" s="11"/>
      <c r="AP193" s="11"/>
      <c r="AQ193" s="11">
        <v>10</v>
      </c>
      <c r="AR193" s="11"/>
      <c r="AS193" s="11"/>
      <c r="AT193" s="11"/>
      <c r="AU193" s="11"/>
      <c r="AV193" s="11"/>
      <c r="AW193" s="20" t="str">
        <f>HYPERLINK("http://www.openstreetmap.org/?mlat=34.3696&amp;mlon=44.6138&amp;zoom=12#map=12/34.3696/44.6138","Maplink1")</f>
        <v>Maplink1</v>
      </c>
      <c r="AX193" s="20" t="str">
        <f>HYPERLINK("https://www.google.iq/maps/search/+34.3696,44.6138/@34.3696,44.6138,14z?hl=en","Maplink2")</f>
        <v>Maplink2</v>
      </c>
      <c r="AY193" s="20" t="str">
        <f>HYPERLINK("http://www.bing.com/maps/?lvl=14&amp;sty=h&amp;cp=34.3696~44.6138&amp;sp=point.34.3696_44.6138","Maplink3")</f>
        <v>Maplink3</v>
      </c>
    </row>
    <row r="194" spans="1:51" x14ac:dyDescent="0.25">
      <c r="A194" s="9">
        <v>25681</v>
      </c>
      <c r="B194" s="10" t="s">
        <v>13</v>
      </c>
      <c r="C194" s="10" t="s">
        <v>211</v>
      </c>
      <c r="D194" s="10" t="s">
        <v>1050</v>
      </c>
      <c r="E194" s="10" t="s">
        <v>270</v>
      </c>
      <c r="F194" s="10">
        <v>34.0805394056</v>
      </c>
      <c r="G194" s="10">
        <v>44.916511878500003</v>
      </c>
      <c r="H194" s="10" t="s">
        <v>213</v>
      </c>
      <c r="I194" s="10" t="s">
        <v>214</v>
      </c>
      <c r="J194" s="10"/>
      <c r="K194" s="11">
        <v>12</v>
      </c>
      <c r="L194" s="11">
        <v>72</v>
      </c>
      <c r="M194" s="11"/>
      <c r="N194" s="11"/>
      <c r="O194" s="11"/>
      <c r="P194" s="11"/>
      <c r="Q194" s="11"/>
      <c r="R194" s="11">
        <v>10</v>
      </c>
      <c r="S194" s="11"/>
      <c r="T194" s="11"/>
      <c r="U194" s="11">
        <v>2</v>
      </c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>
        <v>6</v>
      </c>
      <c r="AG194" s="11"/>
      <c r="AH194" s="11"/>
      <c r="AI194" s="11"/>
      <c r="AJ194" s="11"/>
      <c r="AK194" s="11"/>
      <c r="AL194" s="11"/>
      <c r="AM194" s="11"/>
      <c r="AN194" s="11">
        <v>6</v>
      </c>
      <c r="AO194" s="11"/>
      <c r="AP194" s="11"/>
      <c r="AQ194" s="11"/>
      <c r="AR194" s="11"/>
      <c r="AS194" s="11">
        <v>12</v>
      </c>
      <c r="AT194" s="11"/>
      <c r="AU194" s="11"/>
      <c r="AV194" s="11"/>
      <c r="AW194" s="20" t="str">
        <f>HYPERLINK("http://www.openstreetmap.org/?mlat=34.0805&amp;mlon=44.9165&amp;zoom=12#map=12/34.0805/44.9165","Maplink1")</f>
        <v>Maplink1</v>
      </c>
      <c r="AX194" s="20" t="str">
        <f>HYPERLINK("https://www.google.iq/maps/search/+34.0805,44.9165/@34.0805,44.9165,14z?hl=en","Maplink2")</f>
        <v>Maplink2</v>
      </c>
      <c r="AY194" s="20" t="str">
        <f>HYPERLINK("http://www.bing.com/maps/?lvl=14&amp;sty=h&amp;cp=34.0805~44.9165&amp;sp=point.34.0805_44.9165","Maplink3")</f>
        <v>Maplink3</v>
      </c>
    </row>
    <row r="195" spans="1:51" x14ac:dyDescent="0.25">
      <c r="A195" s="9">
        <v>25680</v>
      </c>
      <c r="B195" s="10" t="s">
        <v>13</v>
      </c>
      <c r="C195" s="10" t="s">
        <v>211</v>
      </c>
      <c r="D195" s="10" t="s">
        <v>1051</v>
      </c>
      <c r="E195" s="10" t="s">
        <v>271</v>
      </c>
      <c r="F195" s="10">
        <v>34.0236522071</v>
      </c>
      <c r="G195" s="10">
        <v>44.865479255099999</v>
      </c>
      <c r="H195" s="10" t="s">
        <v>213</v>
      </c>
      <c r="I195" s="10" t="s">
        <v>214</v>
      </c>
      <c r="J195" s="10"/>
      <c r="K195" s="11">
        <v>100</v>
      </c>
      <c r="L195" s="11">
        <v>600</v>
      </c>
      <c r="M195" s="11"/>
      <c r="N195" s="11"/>
      <c r="O195" s="11"/>
      <c r="P195" s="11"/>
      <c r="Q195" s="11"/>
      <c r="R195" s="11">
        <v>82</v>
      </c>
      <c r="S195" s="11"/>
      <c r="T195" s="11"/>
      <c r="U195" s="11">
        <v>9</v>
      </c>
      <c r="V195" s="11"/>
      <c r="W195" s="11"/>
      <c r="X195" s="11"/>
      <c r="Y195" s="11"/>
      <c r="Z195" s="11"/>
      <c r="AA195" s="11"/>
      <c r="AB195" s="11">
        <v>9</v>
      </c>
      <c r="AC195" s="11"/>
      <c r="AD195" s="11"/>
      <c r="AE195" s="11"/>
      <c r="AF195" s="11">
        <v>100</v>
      </c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>
        <v>100</v>
      </c>
      <c r="AT195" s="11"/>
      <c r="AU195" s="11"/>
      <c r="AV195" s="11"/>
      <c r="AW195" s="20" t="str">
        <f>HYPERLINK("http://www.openstreetmap.org/?mlat=34.0237&amp;mlon=44.8655&amp;zoom=12#map=12/34.0237/44.8655","Maplink1")</f>
        <v>Maplink1</v>
      </c>
      <c r="AX195" s="20" t="str">
        <f>HYPERLINK("https://www.google.iq/maps/search/+34.0237,44.8655/@34.0237,44.8655,14z?hl=en","Maplink2")</f>
        <v>Maplink2</v>
      </c>
      <c r="AY195" s="20" t="str">
        <f>HYPERLINK("http://www.bing.com/maps/?lvl=14&amp;sty=h&amp;cp=34.0237~44.8655&amp;sp=point.34.0237_44.8655","Maplink3")</f>
        <v>Maplink3</v>
      </c>
    </row>
    <row r="196" spans="1:51" x14ac:dyDescent="0.25">
      <c r="A196" s="9">
        <v>26074</v>
      </c>
      <c r="B196" s="10" t="s">
        <v>13</v>
      </c>
      <c r="C196" s="10" t="s">
        <v>211</v>
      </c>
      <c r="D196" s="10" t="s">
        <v>1052</v>
      </c>
      <c r="E196" s="10" t="s">
        <v>272</v>
      </c>
      <c r="F196" s="10">
        <v>34.082662529899999</v>
      </c>
      <c r="G196" s="10">
        <v>44.874094282400002</v>
      </c>
      <c r="H196" s="10" t="s">
        <v>213</v>
      </c>
      <c r="I196" s="10" t="s">
        <v>214</v>
      </c>
      <c r="J196" s="10"/>
      <c r="K196" s="11">
        <v>135</v>
      </c>
      <c r="L196" s="11">
        <v>810</v>
      </c>
      <c r="M196" s="11"/>
      <c r="N196" s="11"/>
      <c r="O196" s="11"/>
      <c r="P196" s="11"/>
      <c r="Q196" s="11"/>
      <c r="R196" s="11">
        <v>135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>
        <v>50</v>
      </c>
      <c r="AG196" s="11"/>
      <c r="AH196" s="11"/>
      <c r="AI196" s="11"/>
      <c r="AJ196" s="11"/>
      <c r="AK196" s="11"/>
      <c r="AL196" s="11"/>
      <c r="AM196" s="11"/>
      <c r="AN196" s="11">
        <v>85</v>
      </c>
      <c r="AO196" s="11"/>
      <c r="AP196" s="11"/>
      <c r="AQ196" s="11">
        <v>135</v>
      </c>
      <c r="AR196" s="11"/>
      <c r="AS196" s="11"/>
      <c r="AT196" s="11"/>
      <c r="AU196" s="11"/>
      <c r="AV196" s="11"/>
      <c r="AW196" s="20" t="str">
        <f>HYPERLINK("http://www.openstreetmap.org/?mlat=34.0827&amp;mlon=44.8741&amp;zoom=12#map=12/34.0827/44.8741","Maplink1")</f>
        <v>Maplink1</v>
      </c>
      <c r="AX196" s="20" t="str">
        <f>HYPERLINK("https://www.google.iq/maps/search/+34.0827,44.8741/@34.0827,44.8741,14z?hl=en","Maplink2")</f>
        <v>Maplink2</v>
      </c>
      <c r="AY196" s="20" t="str">
        <f>HYPERLINK("http://www.bing.com/maps/?lvl=14&amp;sty=h&amp;cp=34.0827~44.8741&amp;sp=point.34.0827_44.8741","Maplink3")</f>
        <v>Maplink3</v>
      </c>
    </row>
    <row r="197" spans="1:51" x14ac:dyDescent="0.25">
      <c r="A197" s="9">
        <v>26055</v>
      </c>
      <c r="B197" s="10" t="s">
        <v>13</v>
      </c>
      <c r="C197" s="10" t="s">
        <v>211</v>
      </c>
      <c r="D197" s="10" t="s">
        <v>273</v>
      </c>
      <c r="E197" s="10" t="s">
        <v>274</v>
      </c>
      <c r="F197" s="10">
        <v>34.056063014999999</v>
      </c>
      <c r="G197" s="10">
        <v>44.846521988500001</v>
      </c>
      <c r="H197" s="10" t="s">
        <v>213</v>
      </c>
      <c r="I197" s="10" t="s">
        <v>214</v>
      </c>
      <c r="J197" s="10"/>
      <c r="K197" s="11">
        <v>95</v>
      </c>
      <c r="L197" s="11">
        <v>570</v>
      </c>
      <c r="M197" s="11"/>
      <c r="N197" s="11"/>
      <c r="O197" s="11"/>
      <c r="P197" s="11"/>
      <c r="Q197" s="11"/>
      <c r="R197" s="11">
        <v>95</v>
      </c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>
        <v>95</v>
      </c>
      <c r="AO197" s="11"/>
      <c r="AP197" s="11"/>
      <c r="AQ197" s="11">
        <v>95</v>
      </c>
      <c r="AR197" s="11"/>
      <c r="AS197" s="11"/>
      <c r="AT197" s="11"/>
      <c r="AU197" s="11"/>
      <c r="AV197" s="11"/>
      <c r="AW197" s="20" t="str">
        <f>HYPERLINK("http://www.openstreetmap.org/?mlat=34.0561&amp;mlon=44.8465&amp;zoom=12#map=12/34.0561/44.8465","Maplink1")</f>
        <v>Maplink1</v>
      </c>
      <c r="AX197" s="20" t="str">
        <f>HYPERLINK("https://www.google.iq/maps/search/+34.0561,44.8465/@34.0561,44.8465,14z?hl=en","Maplink2")</f>
        <v>Maplink2</v>
      </c>
      <c r="AY197" s="20" t="str">
        <f>HYPERLINK("http://www.bing.com/maps/?lvl=14&amp;sty=h&amp;cp=34.0561~44.8465&amp;sp=point.34.0561_44.8465","Maplink3")</f>
        <v>Maplink3</v>
      </c>
    </row>
    <row r="198" spans="1:51" x14ac:dyDescent="0.25">
      <c r="A198" s="9">
        <v>28465</v>
      </c>
      <c r="B198" s="10" t="s">
        <v>13</v>
      </c>
      <c r="C198" s="10" t="s">
        <v>211</v>
      </c>
      <c r="D198" s="10" t="s">
        <v>275</v>
      </c>
      <c r="E198" s="10" t="s">
        <v>276</v>
      </c>
      <c r="F198" s="10">
        <v>34.255257430299999</v>
      </c>
      <c r="G198" s="10">
        <v>44.528739999300001</v>
      </c>
      <c r="H198" s="10" t="s">
        <v>213</v>
      </c>
      <c r="I198" s="10" t="s">
        <v>214</v>
      </c>
      <c r="J198" s="10"/>
      <c r="K198" s="11">
        <v>17</v>
      </c>
      <c r="L198" s="11">
        <v>102</v>
      </c>
      <c r="M198" s="11"/>
      <c r="N198" s="11"/>
      <c r="O198" s="11"/>
      <c r="P198" s="11"/>
      <c r="Q198" s="11"/>
      <c r="R198" s="11">
        <v>17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>
        <v>17</v>
      </c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>
        <v>17</v>
      </c>
      <c r="AR198" s="11"/>
      <c r="AS198" s="11"/>
      <c r="AT198" s="11"/>
      <c r="AU198" s="11"/>
      <c r="AV198" s="11"/>
      <c r="AW198" s="20" t="str">
        <f>HYPERLINK("http://www.openstreetmap.org/?mlat=34.2553&amp;mlon=44.5287&amp;zoom=12#map=12/34.2553/44.5287","Maplink1")</f>
        <v>Maplink1</v>
      </c>
      <c r="AX198" s="20" t="str">
        <f>HYPERLINK("https://www.google.iq/maps/search/+34.2553,44.5287/@34.2553,44.5287,14z?hl=en","Maplink2")</f>
        <v>Maplink2</v>
      </c>
      <c r="AY198" s="20" t="str">
        <f>HYPERLINK("http://www.bing.com/maps/?lvl=14&amp;sty=h&amp;cp=34.2553~44.5287&amp;sp=point.34.2553_44.5287","Maplink3")</f>
        <v>Maplink3</v>
      </c>
    </row>
    <row r="199" spans="1:51" x14ac:dyDescent="0.25">
      <c r="A199" s="9">
        <v>28446</v>
      </c>
      <c r="B199" s="10" t="s">
        <v>13</v>
      </c>
      <c r="C199" s="10" t="s">
        <v>211</v>
      </c>
      <c r="D199" s="10" t="s">
        <v>277</v>
      </c>
      <c r="E199" s="10" t="s">
        <v>278</v>
      </c>
      <c r="F199" s="10">
        <v>34.2703937709</v>
      </c>
      <c r="G199" s="10">
        <v>44.533716557200002</v>
      </c>
      <c r="H199" s="10" t="s">
        <v>213</v>
      </c>
      <c r="I199" s="10" t="s">
        <v>214</v>
      </c>
      <c r="J199" s="10"/>
      <c r="K199" s="11">
        <v>17</v>
      </c>
      <c r="L199" s="11">
        <v>102</v>
      </c>
      <c r="M199" s="11"/>
      <c r="N199" s="11"/>
      <c r="O199" s="11"/>
      <c r="P199" s="11"/>
      <c r="Q199" s="11"/>
      <c r="R199" s="11">
        <v>17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>
        <v>17</v>
      </c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>
        <v>17</v>
      </c>
      <c r="AR199" s="11"/>
      <c r="AS199" s="11"/>
      <c r="AT199" s="11"/>
      <c r="AU199" s="11"/>
      <c r="AV199" s="11"/>
      <c r="AW199" s="20" t="str">
        <f>HYPERLINK("http://www.openstreetmap.org/?mlat=34.2704&amp;mlon=44.5337&amp;zoom=12#map=12/34.2704/44.5337","Maplink1")</f>
        <v>Maplink1</v>
      </c>
      <c r="AX199" s="20" t="str">
        <f>HYPERLINK("https://www.google.iq/maps/search/+34.2704,44.5337/@34.2704,44.5337,14z?hl=en","Maplink2")</f>
        <v>Maplink2</v>
      </c>
      <c r="AY199" s="20" t="str">
        <f>HYPERLINK("http://www.bing.com/maps/?lvl=14&amp;sty=h&amp;cp=34.2704~44.5337&amp;sp=point.34.2704_44.5337","Maplink3")</f>
        <v>Maplink3</v>
      </c>
    </row>
    <row r="200" spans="1:51" x14ac:dyDescent="0.25">
      <c r="A200" s="9">
        <v>25670</v>
      </c>
      <c r="B200" s="10" t="s">
        <v>13</v>
      </c>
      <c r="C200" s="10" t="s">
        <v>211</v>
      </c>
      <c r="D200" s="10" t="s">
        <v>1053</v>
      </c>
      <c r="E200" s="10" t="s">
        <v>280</v>
      </c>
      <c r="F200" s="10">
        <v>34.098608212099997</v>
      </c>
      <c r="G200" s="10">
        <v>44.741252624700003</v>
      </c>
      <c r="H200" s="10" t="s">
        <v>213</v>
      </c>
      <c r="I200" s="10" t="s">
        <v>214</v>
      </c>
      <c r="J200" s="10"/>
      <c r="K200" s="11">
        <v>57</v>
      </c>
      <c r="L200" s="11">
        <v>342</v>
      </c>
      <c r="M200" s="11"/>
      <c r="N200" s="11"/>
      <c r="O200" s="11"/>
      <c r="P200" s="11"/>
      <c r="Q200" s="11"/>
      <c r="R200" s="11">
        <v>57</v>
      </c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>
        <v>57</v>
      </c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>
        <v>57</v>
      </c>
      <c r="AR200" s="11"/>
      <c r="AS200" s="11"/>
      <c r="AT200" s="11"/>
      <c r="AU200" s="11"/>
      <c r="AV200" s="11"/>
      <c r="AW200" s="20" t="str">
        <f>HYPERLINK("http://www.openstreetmap.org/?mlat=34.0986&amp;mlon=44.7413&amp;zoom=12#map=12/34.0986/44.7413","Maplink1")</f>
        <v>Maplink1</v>
      </c>
      <c r="AX200" s="20" t="str">
        <f>HYPERLINK("https://www.google.iq/maps/search/+34.0986,44.7413/@34.0986,44.7413,14z?hl=en","Maplink2")</f>
        <v>Maplink2</v>
      </c>
      <c r="AY200" s="20" t="str">
        <f>HYPERLINK("http://www.bing.com/maps/?lvl=14&amp;sty=h&amp;cp=34.0986~44.7413&amp;sp=point.34.0986_44.7413","Maplink3")</f>
        <v>Maplink3</v>
      </c>
    </row>
    <row r="201" spans="1:51" x14ac:dyDescent="0.25">
      <c r="A201" s="9">
        <v>25671</v>
      </c>
      <c r="B201" s="10" t="s">
        <v>13</v>
      </c>
      <c r="C201" s="10" t="s">
        <v>211</v>
      </c>
      <c r="D201" s="10" t="s">
        <v>1054</v>
      </c>
      <c r="E201" s="10" t="s">
        <v>247</v>
      </c>
      <c r="F201" s="10">
        <v>33.997503197500002</v>
      </c>
      <c r="G201" s="10">
        <v>44.841394013299997</v>
      </c>
      <c r="H201" s="10" t="s">
        <v>213</v>
      </c>
      <c r="I201" s="10" t="s">
        <v>214</v>
      </c>
      <c r="J201" s="10"/>
      <c r="K201" s="11">
        <v>272</v>
      </c>
      <c r="L201" s="11">
        <v>1632</v>
      </c>
      <c r="M201" s="11"/>
      <c r="N201" s="11"/>
      <c r="O201" s="11"/>
      <c r="P201" s="11"/>
      <c r="Q201" s="11"/>
      <c r="R201" s="11">
        <v>184</v>
      </c>
      <c r="S201" s="11"/>
      <c r="T201" s="11"/>
      <c r="U201" s="11">
        <v>38</v>
      </c>
      <c r="V201" s="11"/>
      <c r="W201" s="11"/>
      <c r="X201" s="11"/>
      <c r="Y201" s="11"/>
      <c r="Z201" s="11"/>
      <c r="AA201" s="11"/>
      <c r="AB201" s="11">
        <v>50</v>
      </c>
      <c r="AC201" s="11"/>
      <c r="AD201" s="11"/>
      <c r="AE201" s="11"/>
      <c r="AF201" s="11">
        <v>80</v>
      </c>
      <c r="AG201" s="11"/>
      <c r="AH201" s="11"/>
      <c r="AI201" s="11"/>
      <c r="AJ201" s="11"/>
      <c r="AK201" s="11"/>
      <c r="AL201" s="11"/>
      <c r="AM201" s="11"/>
      <c r="AN201" s="11">
        <v>192</v>
      </c>
      <c r="AO201" s="11"/>
      <c r="AP201" s="11"/>
      <c r="AQ201" s="11"/>
      <c r="AR201" s="11"/>
      <c r="AS201" s="11">
        <v>272</v>
      </c>
      <c r="AT201" s="11"/>
      <c r="AU201" s="11"/>
      <c r="AV201" s="11"/>
      <c r="AW201" s="20" t="str">
        <f>HYPERLINK("http://www.openstreetmap.org/?mlat=33.9975&amp;mlon=44.8414&amp;zoom=12#map=12/33.9975/44.8414","Maplink1")</f>
        <v>Maplink1</v>
      </c>
      <c r="AX201" s="20" t="str">
        <f>HYPERLINK("https://www.google.iq/maps/search/+33.9975,44.8414/@33.9975,44.8414,14z?hl=en","Maplink2")</f>
        <v>Maplink2</v>
      </c>
      <c r="AY201" s="20" t="str">
        <f>HYPERLINK("http://www.bing.com/maps/?lvl=14&amp;sty=h&amp;cp=33.9975~44.8414&amp;sp=point.33.9975_44.8414","Maplink3")</f>
        <v>Maplink3</v>
      </c>
    </row>
    <row r="202" spans="1:51" x14ac:dyDescent="0.25">
      <c r="A202" s="9">
        <v>27162</v>
      </c>
      <c r="B202" s="10" t="s">
        <v>13</v>
      </c>
      <c r="C202" s="10" t="s">
        <v>211</v>
      </c>
      <c r="D202" s="10" t="s">
        <v>776</v>
      </c>
      <c r="E202" s="10" t="s">
        <v>898</v>
      </c>
      <c r="F202" s="10">
        <v>34.324599317800001</v>
      </c>
      <c r="G202" s="10">
        <v>44.744052724600003</v>
      </c>
      <c r="H202" s="10" t="s">
        <v>213</v>
      </c>
      <c r="I202" s="10" t="s">
        <v>214</v>
      </c>
      <c r="J202" s="10"/>
      <c r="K202" s="11">
        <v>120</v>
      </c>
      <c r="L202" s="11">
        <v>720</v>
      </c>
      <c r="M202" s="11"/>
      <c r="N202" s="11"/>
      <c r="O202" s="11"/>
      <c r="P202" s="11"/>
      <c r="Q202" s="11"/>
      <c r="R202" s="11"/>
      <c r="S202" s="11"/>
      <c r="T202" s="11"/>
      <c r="U202" s="11">
        <v>120</v>
      </c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>
        <v>120</v>
      </c>
      <c r="AH202" s="11"/>
      <c r="AI202" s="11"/>
      <c r="AJ202" s="11"/>
      <c r="AK202" s="11"/>
      <c r="AL202" s="11"/>
      <c r="AM202" s="11"/>
      <c r="AN202" s="11"/>
      <c r="AO202" s="11"/>
      <c r="AP202" s="11"/>
      <c r="AQ202" s="11">
        <v>120</v>
      </c>
      <c r="AR202" s="11"/>
      <c r="AS202" s="11"/>
      <c r="AT202" s="11"/>
      <c r="AU202" s="11"/>
      <c r="AV202" s="11"/>
      <c r="AW202" s="20" t="str">
        <f>HYPERLINK("http://www.openstreetmap.org/?mlat=34.3246&amp;mlon=44.7441&amp;zoom=12#map=12/34.3246/44.7441","Maplink1")</f>
        <v>Maplink1</v>
      </c>
      <c r="AX202" s="20" t="str">
        <f>HYPERLINK("https://www.google.iq/maps/search/+34.3246,44.7441/@34.3246,44.7441,14z?hl=en","Maplink2")</f>
        <v>Maplink2</v>
      </c>
      <c r="AY202" s="20" t="str">
        <f>HYPERLINK("http://www.bing.com/maps/?lvl=14&amp;sty=h&amp;cp=34.3246~44.7441&amp;sp=point.34.3246_44.7441","Maplink3")</f>
        <v>Maplink3</v>
      </c>
    </row>
    <row r="203" spans="1:51" x14ac:dyDescent="0.25">
      <c r="A203" s="9">
        <v>25651</v>
      </c>
      <c r="B203" s="10" t="s">
        <v>13</v>
      </c>
      <c r="C203" s="10" t="s">
        <v>211</v>
      </c>
      <c r="D203" s="10" t="s">
        <v>1268</v>
      </c>
      <c r="E203" s="10" t="s">
        <v>1055</v>
      </c>
      <c r="F203" s="10">
        <v>34.073396995000003</v>
      </c>
      <c r="G203" s="10">
        <v>44.863996596699998</v>
      </c>
      <c r="H203" s="10" t="s">
        <v>213</v>
      </c>
      <c r="I203" s="10" t="s">
        <v>214</v>
      </c>
      <c r="J203" s="10"/>
      <c r="K203" s="11">
        <v>433</v>
      </c>
      <c r="L203" s="11">
        <v>2598</v>
      </c>
      <c r="M203" s="11"/>
      <c r="N203" s="11"/>
      <c r="O203" s="11"/>
      <c r="P203" s="11"/>
      <c r="Q203" s="11"/>
      <c r="R203" s="11">
        <v>333</v>
      </c>
      <c r="S203" s="11"/>
      <c r="T203" s="11"/>
      <c r="U203" s="11">
        <v>45</v>
      </c>
      <c r="V203" s="11"/>
      <c r="W203" s="11"/>
      <c r="X203" s="11"/>
      <c r="Y203" s="11"/>
      <c r="Z203" s="11"/>
      <c r="AA203" s="11"/>
      <c r="AB203" s="11">
        <v>55</v>
      </c>
      <c r="AC203" s="11"/>
      <c r="AD203" s="11"/>
      <c r="AE203" s="11"/>
      <c r="AF203" s="11">
        <v>433</v>
      </c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>
        <v>433</v>
      </c>
      <c r="AR203" s="11"/>
      <c r="AS203" s="11"/>
      <c r="AT203" s="11"/>
      <c r="AU203" s="11"/>
      <c r="AV203" s="11"/>
      <c r="AW203" s="20" t="str">
        <f>HYPERLINK("http://www.openstreetmap.org/?mlat=34.0734&amp;mlon=44.864&amp;zoom=12#map=12/34.0734/44.864","Maplink1")</f>
        <v>Maplink1</v>
      </c>
      <c r="AX203" s="20" t="str">
        <f>HYPERLINK("https://www.google.iq/maps/search/+34.0734,44.864/@34.0734,44.864,14z?hl=en","Maplink2")</f>
        <v>Maplink2</v>
      </c>
      <c r="AY203" s="20" t="str">
        <f>HYPERLINK("http://www.bing.com/maps/?lvl=14&amp;sty=h&amp;cp=34.0734~44.864&amp;sp=point.34.0734_44.864","Maplink3")</f>
        <v>Maplink3</v>
      </c>
    </row>
    <row r="204" spans="1:51" x14ac:dyDescent="0.25">
      <c r="A204" s="9">
        <v>24194</v>
      </c>
      <c r="B204" s="10" t="s">
        <v>13</v>
      </c>
      <c r="C204" s="10" t="s">
        <v>211</v>
      </c>
      <c r="D204" s="10" t="s">
        <v>1056</v>
      </c>
      <c r="E204" s="10" t="s">
        <v>1057</v>
      </c>
      <c r="F204" s="10">
        <v>34.073680979199999</v>
      </c>
      <c r="G204" s="10">
        <v>44.857029207099998</v>
      </c>
      <c r="H204" s="10" t="s">
        <v>213</v>
      </c>
      <c r="I204" s="10" t="s">
        <v>214</v>
      </c>
      <c r="J204" s="10"/>
      <c r="K204" s="11">
        <v>200</v>
      </c>
      <c r="L204" s="11">
        <v>1200</v>
      </c>
      <c r="M204" s="11"/>
      <c r="N204" s="11"/>
      <c r="O204" s="11"/>
      <c r="P204" s="11"/>
      <c r="Q204" s="11"/>
      <c r="R204" s="11">
        <v>161</v>
      </c>
      <c r="S204" s="11"/>
      <c r="T204" s="11"/>
      <c r="U204" s="11">
        <v>39</v>
      </c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>
        <v>200</v>
      </c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>
        <v>200</v>
      </c>
      <c r="AR204" s="11"/>
      <c r="AS204" s="11"/>
      <c r="AT204" s="11"/>
      <c r="AU204" s="11"/>
      <c r="AV204" s="11"/>
      <c r="AW204" s="20" t="str">
        <f>HYPERLINK("http://www.openstreetmap.org/?mlat=34.0737&amp;mlon=44.857&amp;zoom=12#map=12/34.0737/44.857","Maplink1")</f>
        <v>Maplink1</v>
      </c>
      <c r="AX204" s="20" t="str">
        <f>HYPERLINK("https://www.google.iq/maps/search/+34.0737,44.857/@34.0737,44.857,14z?hl=en","Maplink2")</f>
        <v>Maplink2</v>
      </c>
      <c r="AY204" s="20" t="str">
        <f>HYPERLINK("http://www.bing.com/maps/?lvl=14&amp;sty=h&amp;cp=34.0737~44.857&amp;sp=point.34.0737_44.857","Maplink3")</f>
        <v>Maplink3</v>
      </c>
    </row>
    <row r="205" spans="1:51" x14ac:dyDescent="0.25">
      <c r="A205" s="9">
        <v>25655</v>
      </c>
      <c r="B205" s="10" t="s">
        <v>13</v>
      </c>
      <c r="C205" s="10" t="s">
        <v>211</v>
      </c>
      <c r="D205" s="10" t="s">
        <v>1058</v>
      </c>
      <c r="E205" s="10" t="s">
        <v>1059</v>
      </c>
      <c r="F205" s="10">
        <v>34.070367109999999</v>
      </c>
      <c r="G205" s="10">
        <v>44.8705800623</v>
      </c>
      <c r="H205" s="10" t="s">
        <v>213</v>
      </c>
      <c r="I205" s="10" t="s">
        <v>214</v>
      </c>
      <c r="J205" s="10"/>
      <c r="K205" s="11">
        <v>305</v>
      </c>
      <c r="L205" s="11">
        <v>1830</v>
      </c>
      <c r="M205" s="11"/>
      <c r="N205" s="11"/>
      <c r="O205" s="11"/>
      <c r="P205" s="11"/>
      <c r="Q205" s="11"/>
      <c r="R205" s="11">
        <v>210</v>
      </c>
      <c r="S205" s="11"/>
      <c r="T205" s="11"/>
      <c r="U205" s="11">
        <v>50</v>
      </c>
      <c r="V205" s="11"/>
      <c r="W205" s="11"/>
      <c r="X205" s="11"/>
      <c r="Y205" s="11"/>
      <c r="Z205" s="11"/>
      <c r="AA205" s="11"/>
      <c r="AB205" s="11">
        <v>45</v>
      </c>
      <c r="AC205" s="11"/>
      <c r="AD205" s="11"/>
      <c r="AE205" s="11"/>
      <c r="AF205" s="11">
        <v>305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>
        <v>305</v>
      </c>
      <c r="AR205" s="11"/>
      <c r="AS205" s="11"/>
      <c r="AT205" s="11"/>
      <c r="AU205" s="11"/>
      <c r="AV205" s="11"/>
      <c r="AW205" s="20" t="str">
        <f>HYPERLINK("http://www.openstreetmap.org/?mlat=34.0704&amp;mlon=44.8706&amp;zoom=12#map=12/34.0704/44.8706","Maplink1")</f>
        <v>Maplink1</v>
      </c>
      <c r="AX205" s="20" t="str">
        <f>HYPERLINK("https://www.google.iq/maps/search/+34.0704,44.8706/@34.0704,44.8706,14z?hl=en","Maplink2")</f>
        <v>Maplink2</v>
      </c>
      <c r="AY205" s="20" t="str">
        <f>HYPERLINK("http://www.bing.com/maps/?lvl=14&amp;sty=h&amp;cp=34.0704~44.8706&amp;sp=point.34.0704_44.8706","Maplink3")</f>
        <v>Maplink3</v>
      </c>
    </row>
    <row r="206" spans="1:51" x14ac:dyDescent="0.25">
      <c r="A206" s="9">
        <v>25652</v>
      </c>
      <c r="B206" s="10" t="s">
        <v>13</v>
      </c>
      <c r="C206" s="10" t="s">
        <v>211</v>
      </c>
      <c r="D206" s="10" t="s">
        <v>1060</v>
      </c>
      <c r="E206" s="10" t="s">
        <v>1061</v>
      </c>
      <c r="F206" s="10">
        <v>34.069891520799999</v>
      </c>
      <c r="G206" s="10">
        <v>44.864400168899998</v>
      </c>
      <c r="H206" s="10" t="s">
        <v>213</v>
      </c>
      <c r="I206" s="10" t="s">
        <v>214</v>
      </c>
      <c r="J206" s="10"/>
      <c r="K206" s="11">
        <v>417</v>
      </c>
      <c r="L206" s="11">
        <v>2502</v>
      </c>
      <c r="M206" s="11"/>
      <c r="N206" s="11"/>
      <c r="O206" s="11"/>
      <c r="P206" s="11"/>
      <c r="Q206" s="11"/>
      <c r="R206" s="11">
        <v>390</v>
      </c>
      <c r="S206" s="11"/>
      <c r="T206" s="11"/>
      <c r="U206" s="11">
        <v>17</v>
      </c>
      <c r="V206" s="11"/>
      <c r="W206" s="11"/>
      <c r="X206" s="11"/>
      <c r="Y206" s="11"/>
      <c r="Z206" s="11"/>
      <c r="AA206" s="11"/>
      <c r="AB206" s="11">
        <v>10</v>
      </c>
      <c r="AC206" s="11"/>
      <c r="AD206" s="11"/>
      <c r="AE206" s="11"/>
      <c r="AF206" s="11">
        <v>417</v>
      </c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>
        <v>417</v>
      </c>
      <c r="AR206" s="11"/>
      <c r="AS206" s="11"/>
      <c r="AT206" s="11"/>
      <c r="AU206" s="11"/>
      <c r="AV206" s="11"/>
      <c r="AW206" s="20" t="str">
        <f>HYPERLINK("http://www.openstreetmap.org/?mlat=34.0699&amp;mlon=44.8644&amp;zoom=12#map=12/34.0699/44.8644","Maplink1")</f>
        <v>Maplink1</v>
      </c>
      <c r="AX206" s="20" t="str">
        <f>HYPERLINK("https://www.google.iq/maps/search/+34.0699,44.8644/@34.0699,44.8644,14z?hl=en","Maplink2")</f>
        <v>Maplink2</v>
      </c>
      <c r="AY206" s="20" t="str">
        <f>HYPERLINK("http://www.bing.com/maps/?lvl=14&amp;sty=h&amp;cp=34.0699~44.8644&amp;sp=point.34.0699_44.8644","Maplink3")</f>
        <v>Maplink3</v>
      </c>
    </row>
    <row r="207" spans="1:51" x14ac:dyDescent="0.25">
      <c r="A207" s="9">
        <v>25653</v>
      </c>
      <c r="B207" s="10" t="s">
        <v>13</v>
      </c>
      <c r="C207" s="10" t="s">
        <v>211</v>
      </c>
      <c r="D207" s="10" t="s">
        <v>1062</v>
      </c>
      <c r="E207" s="10" t="s">
        <v>1063</v>
      </c>
      <c r="F207" s="10">
        <v>34.077036925599998</v>
      </c>
      <c r="G207" s="10">
        <v>44.855530606599999</v>
      </c>
      <c r="H207" s="10" t="s">
        <v>213</v>
      </c>
      <c r="I207" s="10" t="s">
        <v>214</v>
      </c>
      <c r="J207" s="10"/>
      <c r="K207" s="11">
        <v>225</v>
      </c>
      <c r="L207" s="11">
        <v>1350</v>
      </c>
      <c r="M207" s="11"/>
      <c r="N207" s="11"/>
      <c r="O207" s="11"/>
      <c r="P207" s="11"/>
      <c r="Q207" s="11"/>
      <c r="R207" s="11"/>
      <c r="S207" s="11"/>
      <c r="T207" s="11"/>
      <c r="U207" s="11">
        <v>225</v>
      </c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>
        <v>225</v>
      </c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>
        <v>225</v>
      </c>
      <c r="AR207" s="11"/>
      <c r="AS207" s="11"/>
      <c r="AT207" s="11"/>
      <c r="AU207" s="11"/>
      <c r="AV207" s="11"/>
      <c r="AW207" s="20" t="str">
        <f>HYPERLINK("http://www.openstreetmap.org/?mlat=34.077&amp;mlon=44.8555&amp;zoom=12#map=12/34.077/44.8555","Maplink1")</f>
        <v>Maplink1</v>
      </c>
      <c r="AX207" s="20" t="str">
        <f>HYPERLINK("https://www.google.iq/maps/search/+34.077,44.8555/@34.077,44.8555,14z?hl=en","Maplink2")</f>
        <v>Maplink2</v>
      </c>
      <c r="AY207" s="20" t="str">
        <f>HYPERLINK("http://www.bing.com/maps/?lvl=14&amp;sty=h&amp;cp=34.077~44.8555&amp;sp=point.34.077_44.8555","Maplink3")</f>
        <v>Maplink3</v>
      </c>
    </row>
    <row r="208" spans="1:51" x14ac:dyDescent="0.25">
      <c r="A208" s="9">
        <v>25656</v>
      </c>
      <c r="B208" s="10" t="s">
        <v>13</v>
      </c>
      <c r="C208" s="10" t="s">
        <v>211</v>
      </c>
      <c r="D208" s="10" t="s">
        <v>1064</v>
      </c>
      <c r="E208" s="10" t="s">
        <v>1065</v>
      </c>
      <c r="F208" s="10">
        <v>34.069639560799999</v>
      </c>
      <c r="G208" s="10">
        <v>44.8598904535</v>
      </c>
      <c r="H208" s="10" t="s">
        <v>213</v>
      </c>
      <c r="I208" s="10" t="s">
        <v>214</v>
      </c>
      <c r="J208" s="10"/>
      <c r="K208" s="11">
        <v>199</v>
      </c>
      <c r="L208" s="11">
        <v>1194</v>
      </c>
      <c r="M208" s="11"/>
      <c r="N208" s="11"/>
      <c r="O208" s="11"/>
      <c r="P208" s="11"/>
      <c r="Q208" s="11"/>
      <c r="R208" s="11">
        <v>139</v>
      </c>
      <c r="S208" s="11"/>
      <c r="T208" s="11"/>
      <c r="U208" s="11">
        <v>35</v>
      </c>
      <c r="V208" s="11"/>
      <c r="W208" s="11"/>
      <c r="X208" s="11"/>
      <c r="Y208" s="11"/>
      <c r="Z208" s="11"/>
      <c r="AA208" s="11"/>
      <c r="AB208" s="11">
        <v>25</v>
      </c>
      <c r="AC208" s="11"/>
      <c r="AD208" s="11"/>
      <c r="AE208" s="11"/>
      <c r="AF208" s="11">
        <v>199</v>
      </c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>
        <v>199</v>
      </c>
      <c r="AR208" s="11"/>
      <c r="AS208" s="11"/>
      <c r="AT208" s="11"/>
      <c r="AU208" s="11"/>
      <c r="AV208" s="11"/>
      <c r="AW208" s="20" t="str">
        <f>HYPERLINK("http://www.openstreetmap.org/?mlat=34.0696&amp;mlon=44.8599&amp;zoom=12#map=12/34.0696/44.8599","Maplink1")</f>
        <v>Maplink1</v>
      </c>
      <c r="AX208" s="20" t="str">
        <f>HYPERLINK("https://www.google.iq/maps/search/+34.0696,44.8599/@34.0696,44.8599,14z?hl=en","Maplink2")</f>
        <v>Maplink2</v>
      </c>
      <c r="AY208" s="20" t="str">
        <f>HYPERLINK("http://www.bing.com/maps/?lvl=14&amp;sty=h&amp;cp=34.0696~44.8599&amp;sp=point.34.0696_44.8599","Maplink3")</f>
        <v>Maplink3</v>
      </c>
    </row>
    <row r="209" spans="1:51" x14ac:dyDescent="0.25">
      <c r="A209" s="9">
        <v>25678</v>
      </c>
      <c r="B209" s="10" t="s">
        <v>13</v>
      </c>
      <c r="C209" s="10" t="s">
        <v>211</v>
      </c>
      <c r="D209" s="10" t="s">
        <v>1066</v>
      </c>
      <c r="E209" s="10" t="s">
        <v>281</v>
      </c>
      <c r="F209" s="10">
        <v>34.078226752100001</v>
      </c>
      <c r="G209" s="10">
        <v>44.934447553799998</v>
      </c>
      <c r="H209" s="10" t="s">
        <v>213</v>
      </c>
      <c r="I209" s="10" t="s">
        <v>214</v>
      </c>
      <c r="J209" s="10"/>
      <c r="K209" s="11">
        <v>164</v>
      </c>
      <c r="L209" s="11">
        <v>984</v>
      </c>
      <c r="M209" s="11"/>
      <c r="N209" s="11"/>
      <c r="O209" s="11"/>
      <c r="P209" s="11"/>
      <c r="Q209" s="11"/>
      <c r="R209" s="11">
        <v>154</v>
      </c>
      <c r="S209" s="11"/>
      <c r="T209" s="11"/>
      <c r="U209" s="11"/>
      <c r="V209" s="11"/>
      <c r="W209" s="11"/>
      <c r="X209" s="11"/>
      <c r="Y209" s="11"/>
      <c r="Z209" s="11"/>
      <c r="AA209" s="11"/>
      <c r="AB209" s="11">
        <v>10</v>
      </c>
      <c r="AC209" s="11"/>
      <c r="AD209" s="11"/>
      <c r="AE209" s="11"/>
      <c r="AF209" s="11">
        <v>74</v>
      </c>
      <c r="AG209" s="11"/>
      <c r="AH209" s="11"/>
      <c r="AI209" s="11"/>
      <c r="AJ209" s="11"/>
      <c r="AK209" s="11"/>
      <c r="AL209" s="11"/>
      <c r="AM209" s="11"/>
      <c r="AN209" s="11">
        <v>90</v>
      </c>
      <c r="AO209" s="11"/>
      <c r="AP209" s="11"/>
      <c r="AQ209" s="11"/>
      <c r="AR209" s="11"/>
      <c r="AS209" s="11">
        <v>164</v>
      </c>
      <c r="AT209" s="11"/>
      <c r="AU209" s="11"/>
      <c r="AV209" s="11"/>
      <c r="AW209" s="20" t="str">
        <f>HYPERLINK("http://www.openstreetmap.org/?mlat=34.0782&amp;mlon=44.9344&amp;zoom=12#map=12/34.0782/44.9344","Maplink1")</f>
        <v>Maplink1</v>
      </c>
      <c r="AX209" s="20" t="str">
        <f>HYPERLINK("https://www.google.iq/maps/search/+34.0782,44.9344/@34.0782,44.9344,14z?hl=en","Maplink2")</f>
        <v>Maplink2</v>
      </c>
      <c r="AY209" s="20" t="str">
        <f>HYPERLINK("http://www.bing.com/maps/?lvl=14&amp;sty=h&amp;cp=34.0782~44.9344&amp;sp=point.34.0782_44.9344","Maplink3")</f>
        <v>Maplink3</v>
      </c>
    </row>
    <row r="210" spans="1:51" x14ac:dyDescent="0.25">
      <c r="A210" s="9">
        <v>26076</v>
      </c>
      <c r="B210" s="10" t="s">
        <v>13</v>
      </c>
      <c r="C210" s="10" t="s">
        <v>211</v>
      </c>
      <c r="D210" s="10" t="s">
        <v>1067</v>
      </c>
      <c r="E210" s="10" t="s">
        <v>282</v>
      </c>
      <c r="F210" s="10">
        <v>34.0690507411</v>
      </c>
      <c r="G210" s="10">
        <v>44.902165231799998</v>
      </c>
      <c r="H210" s="10" t="s">
        <v>213</v>
      </c>
      <c r="I210" s="10" t="s">
        <v>214</v>
      </c>
      <c r="J210" s="10"/>
      <c r="K210" s="11">
        <v>200</v>
      </c>
      <c r="L210" s="11">
        <v>1200</v>
      </c>
      <c r="M210" s="11"/>
      <c r="N210" s="11"/>
      <c r="O210" s="11"/>
      <c r="P210" s="11"/>
      <c r="Q210" s="11"/>
      <c r="R210" s="11">
        <v>200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>
        <v>35</v>
      </c>
      <c r="AG210" s="11"/>
      <c r="AH210" s="11"/>
      <c r="AI210" s="11"/>
      <c r="AJ210" s="11"/>
      <c r="AK210" s="11"/>
      <c r="AL210" s="11"/>
      <c r="AM210" s="11"/>
      <c r="AN210" s="11">
        <v>165</v>
      </c>
      <c r="AO210" s="11"/>
      <c r="AP210" s="11"/>
      <c r="AQ210" s="11">
        <v>200</v>
      </c>
      <c r="AR210" s="11"/>
      <c r="AS210" s="11"/>
      <c r="AT210" s="11"/>
      <c r="AU210" s="11"/>
      <c r="AV210" s="11"/>
      <c r="AW210" s="20" t="str">
        <f>HYPERLINK("http://www.openstreetmap.org/?mlat=34.0691&amp;mlon=44.9022&amp;zoom=12#map=12/34.0691/44.9022","Maplink1")</f>
        <v>Maplink1</v>
      </c>
      <c r="AX210" s="20" t="str">
        <f>HYPERLINK("https://www.google.iq/maps/search/+34.0691,44.9022/@34.0691,44.9022,14z?hl=en","Maplink2")</f>
        <v>Maplink2</v>
      </c>
      <c r="AY210" s="20" t="str">
        <f>HYPERLINK("http://www.bing.com/maps/?lvl=14&amp;sty=h&amp;cp=34.0691~44.9022&amp;sp=point.34.0691_44.9022","Maplink3")</f>
        <v>Maplink3</v>
      </c>
    </row>
    <row r="211" spans="1:51" x14ac:dyDescent="0.25">
      <c r="A211" s="9">
        <v>27160</v>
      </c>
      <c r="B211" s="10" t="s">
        <v>13</v>
      </c>
      <c r="C211" s="10" t="s">
        <v>211</v>
      </c>
      <c r="D211" s="10" t="s">
        <v>283</v>
      </c>
      <c r="E211" s="10" t="s">
        <v>284</v>
      </c>
      <c r="F211" s="10">
        <v>34.311416188599999</v>
      </c>
      <c r="G211" s="10">
        <v>44.811089959199997</v>
      </c>
      <c r="H211" s="10" t="s">
        <v>213</v>
      </c>
      <c r="I211" s="10" t="s">
        <v>214</v>
      </c>
      <c r="J211" s="10"/>
      <c r="K211" s="11">
        <v>75</v>
      </c>
      <c r="L211" s="11">
        <v>450</v>
      </c>
      <c r="M211" s="11"/>
      <c r="N211" s="11"/>
      <c r="O211" s="11"/>
      <c r="P211" s="11"/>
      <c r="Q211" s="11"/>
      <c r="R211" s="11"/>
      <c r="S211" s="11"/>
      <c r="T211" s="11"/>
      <c r="U211" s="11">
        <v>75</v>
      </c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>
        <v>75</v>
      </c>
      <c r="AH211" s="11"/>
      <c r="AI211" s="11"/>
      <c r="AJ211" s="11"/>
      <c r="AK211" s="11"/>
      <c r="AL211" s="11"/>
      <c r="AM211" s="11"/>
      <c r="AN211" s="11"/>
      <c r="AO211" s="11"/>
      <c r="AP211" s="11"/>
      <c r="AQ211" s="11">
        <v>75</v>
      </c>
      <c r="AR211" s="11"/>
      <c r="AS211" s="11"/>
      <c r="AT211" s="11"/>
      <c r="AU211" s="11"/>
      <c r="AV211" s="11"/>
      <c r="AW211" s="20" t="str">
        <f>HYPERLINK("http://www.openstreetmap.org/?mlat=34.3114&amp;mlon=44.8111&amp;zoom=12#map=12/34.3114/44.8111","Maplink1")</f>
        <v>Maplink1</v>
      </c>
      <c r="AX211" s="20" t="str">
        <f>HYPERLINK("https://www.google.iq/maps/search/+34.3114,44.8111/@34.3114,44.8111,14z?hl=en","Maplink2")</f>
        <v>Maplink2</v>
      </c>
      <c r="AY211" s="20" t="str">
        <f>HYPERLINK("http://www.bing.com/maps/?lvl=14&amp;sty=h&amp;cp=34.3114~44.8111&amp;sp=point.34.3114_44.8111","Maplink3")</f>
        <v>Maplink3</v>
      </c>
    </row>
    <row r="212" spans="1:51" x14ac:dyDescent="0.25">
      <c r="A212" s="9">
        <v>25673</v>
      </c>
      <c r="B212" s="10" t="s">
        <v>13</v>
      </c>
      <c r="C212" s="10" t="s">
        <v>211</v>
      </c>
      <c r="D212" s="10" t="s">
        <v>1068</v>
      </c>
      <c r="E212" s="10" t="s">
        <v>285</v>
      </c>
      <c r="F212" s="10">
        <v>34.053902327999999</v>
      </c>
      <c r="G212" s="10">
        <v>44.892276702399997</v>
      </c>
      <c r="H212" s="10" t="s">
        <v>213</v>
      </c>
      <c r="I212" s="10" t="s">
        <v>214</v>
      </c>
      <c r="J212" s="10"/>
      <c r="K212" s="11">
        <v>434</v>
      </c>
      <c r="L212" s="11">
        <v>2604</v>
      </c>
      <c r="M212" s="11"/>
      <c r="N212" s="11"/>
      <c r="O212" s="11"/>
      <c r="P212" s="11"/>
      <c r="Q212" s="11"/>
      <c r="R212" s="11">
        <v>234</v>
      </c>
      <c r="S212" s="11"/>
      <c r="T212" s="11"/>
      <c r="U212" s="11">
        <v>100</v>
      </c>
      <c r="V212" s="11"/>
      <c r="W212" s="11"/>
      <c r="X212" s="11"/>
      <c r="Y212" s="11"/>
      <c r="Z212" s="11"/>
      <c r="AA212" s="11"/>
      <c r="AB212" s="11">
        <v>100</v>
      </c>
      <c r="AC212" s="11"/>
      <c r="AD212" s="11"/>
      <c r="AE212" s="11"/>
      <c r="AF212" s="11">
        <v>370</v>
      </c>
      <c r="AG212" s="11"/>
      <c r="AH212" s="11"/>
      <c r="AI212" s="11"/>
      <c r="AJ212" s="11"/>
      <c r="AK212" s="11"/>
      <c r="AL212" s="11"/>
      <c r="AM212" s="11"/>
      <c r="AN212" s="11">
        <v>64</v>
      </c>
      <c r="AO212" s="11"/>
      <c r="AP212" s="11"/>
      <c r="AQ212" s="11"/>
      <c r="AR212" s="11"/>
      <c r="AS212" s="11">
        <v>434</v>
      </c>
      <c r="AT212" s="11"/>
      <c r="AU212" s="11"/>
      <c r="AV212" s="11"/>
      <c r="AW212" s="20" t="str">
        <f>HYPERLINK("http://www.openstreetmap.org/?mlat=34.0539&amp;mlon=44.8923&amp;zoom=12#map=12/34.0539/44.8923","Maplink1")</f>
        <v>Maplink1</v>
      </c>
      <c r="AX212" s="20" t="str">
        <f>HYPERLINK("https://www.google.iq/maps/search/+34.0539,44.8923/@34.0539,44.8923,14z?hl=en","Maplink2")</f>
        <v>Maplink2</v>
      </c>
      <c r="AY212" s="20" t="str">
        <f>HYPERLINK("http://www.bing.com/maps/?lvl=14&amp;sty=h&amp;cp=34.0539~44.8923&amp;sp=point.34.0539_44.8923","Maplink3")</f>
        <v>Maplink3</v>
      </c>
    </row>
    <row r="213" spans="1:51" x14ac:dyDescent="0.25">
      <c r="A213" s="9">
        <v>25672</v>
      </c>
      <c r="B213" s="10" t="s">
        <v>13</v>
      </c>
      <c r="C213" s="10" t="s">
        <v>211</v>
      </c>
      <c r="D213" s="10" t="s">
        <v>1069</v>
      </c>
      <c r="E213" s="10" t="s">
        <v>286</v>
      </c>
      <c r="F213" s="10">
        <v>34.060212811500001</v>
      </c>
      <c r="G213" s="10">
        <v>44.850548235700003</v>
      </c>
      <c r="H213" s="10" t="s">
        <v>213</v>
      </c>
      <c r="I213" s="10" t="s">
        <v>214</v>
      </c>
      <c r="J213" s="10"/>
      <c r="K213" s="11">
        <v>240</v>
      </c>
      <c r="L213" s="11">
        <v>1440</v>
      </c>
      <c r="M213" s="11"/>
      <c r="N213" s="11"/>
      <c r="O213" s="11"/>
      <c r="P213" s="11"/>
      <c r="Q213" s="11"/>
      <c r="R213" s="11">
        <v>200</v>
      </c>
      <c r="S213" s="11"/>
      <c r="T213" s="11"/>
      <c r="U213" s="11">
        <v>20</v>
      </c>
      <c r="V213" s="11"/>
      <c r="W213" s="11"/>
      <c r="X213" s="11"/>
      <c r="Y213" s="11"/>
      <c r="Z213" s="11"/>
      <c r="AA213" s="11"/>
      <c r="AB213" s="11">
        <v>20</v>
      </c>
      <c r="AC213" s="11"/>
      <c r="AD213" s="11"/>
      <c r="AE213" s="11"/>
      <c r="AF213" s="11">
        <v>240</v>
      </c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>
        <v>240</v>
      </c>
      <c r="AT213" s="11"/>
      <c r="AU213" s="11"/>
      <c r="AV213" s="11"/>
      <c r="AW213" s="20" t="str">
        <f>HYPERLINK("http://www.openstreetmap.org/?mlat=34.0602&amp;mlon=44.8505&amp;zoom=12#map=12/34.0602/44.8505","Maplink1")</f>
        <v>Maplink1</v>
      </c>
      <c r="AX213" s="20" t="str">
        <f>HYPERLINK("https://www.google.iq/maps/search/+34.0602,44.8505/@34.0602,44.8505,14z?hl=en","Maplink2")</f>
        <v>Maplink2</v>
      </c>
      <c r="AY213" s="20" t="str">
        <f>HYPERLINK("http://www.bing.com/maps/?lvl=14&amp;sty=h&amp;cp=34.0602~44.8505&amp;sp=point.34.0602_44.8505","Maplink3")</f>
        <v>Maplink3</v>
      </c>
    </row>
    <row r="214" spans="1:51" x14ac:dyDescent="0.25">
      <c r="A214" s="9">
        <v>25677</v>
      </c>
      <c r="B214" s="10" t="s">
        <v>13</v>
      </c>
      <c r="C214" s="10" t="s">
        <v>211</v>
      </c>
      <c r="D214" s="10" t="s">
        <v>1070</v>
      </c>
      <c r="E214" s="10" t="s">
        <v>287</v>
      </c>
      <c r="F214" s="10">
        <v>34.024551135199999</v>
      </c>
      <c r="G214" s="10">
        <v>44.866167090200001</v>
      </c>
      <c r="H214" s="10" t="s">
        <v>213</v>
      </c>
      <c r="I214" s="10" t="s">
        <v>214</v>
      </c>
      <c r="J214" s="10"/>
      <c r="K214" s="11">
        <v>86</v>
      </c>
      <c r="L214" s="11">
        <v>516</v>
      </c>
      <c r="M214" s="11"/>
      <c r="N214" s="11"/>
      <c r="O214" s="11"/>
      <c r="P214" s="11"/>
      <c r="Q214" s="11"/>
      <c r="R214" s="11">
        <v>86</v>
      </c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>
        <v>86</v>
      </c>
      <c r="AO214" s="11"/>
      <c r="AP214" s="11"/>
      <c r="AQ214" s="11"/>
      <c r="AR214" s="11"/>
      <c r="AS214" s="11">
        <v>86</v>
      </c>
      <c r="AT214" s="11"/>
      <c r="AU214" s="11"/>
      <c r="AV214" s="11"/>
      <c r="AW214" s="20" t="str">
        <f>HYPERLINK("http://www.openstreetmap.org/?mlat=34.0246&amp;mlon=44.8662&amp;zoom=12#map=12/34.0246/44.8662","Maplink1")</f>
        <v>Maplink1</v>
      </c>
      <c r="AX214" s="20" t="str">
        <f>HYPERLINK("https://www.google.iq/maps/search/+34.0246,44.8662/@34.0246,44.8662,14z?hl=en","Maplink2")</f>
        <v>Maplink2</v>
      </c>
      <c r="AY214" s="20" t="str">
        <f>HYPERLINK("http://www.bing.com/maps/?lvl=14&amp;sty=h&amp;cp=34.0246~44.8662&amp;sp=point.34.0246_44.8662","Maplink3")</f>
        <v>Maplink3</v>
      </c>
    </row>
    <row r="215" spans="1:51" x14ac:dyDescent="0.25">
      <c r="A215" s="9">
        <v>27171</v>
      </c>
      <c r="B215" s="10" t="s">
        <v>13</v>
      </c>
      <c r="C215" s="10" t="s">
        <v>211</v>
      </c>
      <c r="D215" s="10" t="s">
        <v>288</v>
      </c>
      <c r="E215" s="10" t="s">
        <v>289</v>
      </c>
      <c r="F215" s="10">
        <v>34.306635361300003</v>
      </c>
      <c r="G215" s="10">
        <v>44.548739375300002</v>
      </c>
      <c r="H215" s="10" t="s">
        <v>213</v>
      </c>
      <c r="I215" s="10" t="s">
        <v>214</v>
      </c>
      <c r="J215" s="10"/>
      <c r="K215" s="11">
        <v>5</v>
      </c>
      <c r="L215" s="11">
        <v>30</v>
      </c>
      <c r="M215" s="11"/>
      <c r="N215" s="11"/>
      <c r="O215" s="11"/>
      <c r="P215" s="11"/>
      <c r="Q215" s="11"/>
      <c r="R215" s="11"/>
      <c r="S215" s="11"/>
      <c r="T215" s="11"/>
      <c r="U215" s="11">
        <v>5</v>
      </c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>
        <v>5</v>
      </c>
      <c r="AH215" s="11"/>
      <c r="AI215" s="11"/>
      <c r="AJ215" s="11"/>
      <c r="AK215" s="11"/>
      <c r="AL215" s="11"/>
      <c r="AM215" s="11"/>
      <c r="AN215" s="11"/>
      <c r="AO215" s="11"/>
      <c r="AP215" s="11"/>
      <c r="AQ215" s="11">
        <v>5</v>
      </c>
      <c r="AR215" s="11"/>
      <c r="AS215" s="11"/>
      <c r="AT215" s="11"/>
      <c r="AU215" s="11"/>
      <c r="AV215" s="11"/>
      <c r="AW215" s="20" t="str">
        <f>HYPERLINK("http://www.openstreetmap.org/?mlat=34.3066&amp;mlon=44.5487&amp;zoom=12#map=12/34.3066/44.5487","Maplink1")</f>
        <v>Maplink1</v>
      </c>
      <c r="AX215" s="20" t="str">
        <f>HYPERLINK("https://www.google.iq/maps/search/+34.3066,44.5487/@34.3066,44.5487,14z?hl=en","Maplink2")</f>
        <v>Maplink2</v>
      </c>
      <c r="AY215" s="20" t="str">
        <f>HYPERLINK("http://www.bing.com/maps/?lvl=14&amp;sty=h&amp;cp=34.3066~44.5487&amp;sp=point.34.3066_44.5487","Maplink3")</f>
        <v>Maplink3</v>
      </c>
    </row>
    <row r="216" spans="1:51" x14ac:dyDescent="0.25">
      <c r="A216" s="9">
        <v>27170</v>
      </c>
      <c r="B216" s="10" t="s">
        <v>13</v>
      </c>
      <c r="C216" s="10" t="s">
        <v>211</v>
      </c>
      <c r="D216" s="10" t="s">
        <v>290</v>
      </c>
      <c r="E216" s="10" t="s">
        <v>291</v>
      </c>
      <c r="F216" s="10">
        <v>34.219968067000003</v>
      </c>
      <c r="G216" s="10">
        <v>44.468399008299997</v>
      </c>
      <c r="H216" s="10" t="s">
        <v>213</v>
      </c>
      <c r="I216" s="10" t="s">
        <v>214</v>
      </c>
      <c r="J216" s="10"/>
      <c r="K216" s="11">
        <v>5</v>
      </c>
      <c r="L216" s="11">
        <v>30</v>
      </c>
      <c r="M216" s="11"/>
      <c r="N216" s="11"/>
      <c r="O216" s="11"/>
      <c r="P216" s="11"/>
      <c r="Q216" s="11"/>
      <c r="R216" s="11"/>
      <c r="S216" s="11"/>
      <c r="T216" s="11"/>
      <c r="U216" s="11">
        <v>5</v>
      </c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>
        <v>5</v>
      </c>
      <c r="AH216" s="11"/>
      <c r="AI216" s="11"/>
      <c r="AJ216" s="11"/>
      <c r="AK216" s="11"/>
      <c r="AL216" s="11"/>
      <c r="AM216" s="11"/>
      <c r="AN216" s="11"/>
      <c r="AO216" s="11"/>
      <c r="AP216" s="11"/>
      <c r="AQ216" s="11">
        <v>5</v>
      </c>
      <c r="AR216" s="11"/>
      <c r="AS216" s="11"/>
      <c r="AT216" s="11"/>
      <c r="AU216" s="11"/>
      <c r="AV216" s="11"/>
      <c r="AW216" s="20" t="str">
        <f>HYPERLINK("http://www.openstreetmap.org/?mlat=34.22&amp;mlon=44.4684&amp;zoom=12#map=12/34.22/44.4684","Maplink1")</f>
        <v>Maplink1</v>
      </c>
      <c r="AX216" s="20" t="str">
        <f>HYPERLINK("https://www.google.iq/maps/search/+34.22,44.4684/@34.22,44.4684,14z?hl=en","Maplink2")</f>
        <v>Maplink2</v>
      </c>
      <c r="AY216" s="20" t="str">
        <f>HYPERLINK("http://www.bing.com/maps/?lvl=14&amp;sty=h&amp;cp=34.22~44.4684&amp;sp=point.34.22_44.4684","Maplink3")</f>
        <v>Maplink3</v>
      </c>
    </row>
    <row r="217" spans="1:51" x14ac:dyDescent="0.25">
      <c r="A217" s="9">
        <v>27167</v>
      </c>
      <c r="B217" s="10" t="s">
        <v>13</v>
      </c>
      <c r="C217" s="10" t="s">
        <v>211</v>
      </c>
      <c r="D217" s="10" t="s">
        <v>777</v>
      </c>
      <c r="E217" s="10" t="s">
        <v>292</v>
      </c>
      <c r="F217" s="10">
        <v>34.204378947899997</v>
      </c>
      <c r="G217" s="10">
        <v>44.494994057600003</v>
      </c>
      <c r="H217" s="10" t="s">
        <v>213</v>
      </c>
      <c r="I217" s="10" t="s">
        <v>214</v>
      </c>
      <c r="J217" s="10"/>
      <c r="K217" s="11">
        <v>14</v>
      </c>
      <c r="L217" s="11">
        <v>84</v>
      </c>
      <c r="M217" s="11"/>
      <c r="N217" s="11"/>
      <c r="O217" s="11"/>
      <c r="P217" s="11"/>
      <c r="Q217" s="11"/>
      <c r="R217" s="11"/>
      <c r="S217" s="11"/>
      <c r="T217" s="11"/>
      <c r="U217" s="11">
        <v>14</v>
      </c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>
        <v>14</v>
      </c>
      <c r="AH217" s="11"/>
      <c r="AI217" s="11"/>
      <c r="AJ217" s="11"/>
      <c r="AK217" s="11"/>
      <c r="AL217" s="11"/>
      <c r="AM217" s="11"/>
      <c r="AN217" s="11"/>
      <c r="AO217" s="11"/>
      <c r="AP217" s="11"/>
      <c r="AQ217" s="11">
        <v>14</v>
      </c>
      <c r="AR217" s="11"/>
      <c r="AS217" s="11"/>
      <c r="AT217" s="11"/>
      <c r="AU217" s="11"/>
      <c r="AV217" s="11"/>
      <c r="AW217" s="20" t="str">
        <f>HYPERLINK("http://www.openstreetmap.org/?mlat=34.2044&amp;mlon=44.495&amp;zoom=12#map=12/34.2044/44.495","Maplink1")</f>
        <v>Maplink1</v>
      </c>
      <c r="AX217" s="20" t="str">
        <f>HYPERLINK("https://www.google.iq/maps/search/+34.2044,44.495/@34.2044,44.495,14z?hl=en","Maplink2")</f>
        <v>Maplink2</v>
      </c>
      <c r="AY217" s="20" t="str">
        <f>HYPERLINK("http://www.bing.com/maps/?lvl=14&amp;sty=h&amp;cp=34.2044~44.495&amp;sp=point.34.2044_44.495","Maplink3")</f>
        <v>Maplink3</v>
      </c>
    </row>
    <row r="218" spans="1:51" x14ac:dyDescent="0.25">
      <c r="A218" s="9">
        <v>27179</v>
      </c>
      <c r="B218" s="10" t="s">
        <v>13</v>
      </c>
      <c r="C218" s="10" t="s">
        <v>211</v>
      </c>
      <c r="D218" s="10" t="s">
        <v>1071</v>
      </c>
      <c r="E218" s="10" t="s">
        <v>296</v>
      </c>
      <c r="F218" s="10">
        <v>34.174874993000003</v>
      </c>
      <c r="G218" s="10">
        <v>44.423340653099999</v>
      </c>
      <c r="H218" s="10" t="s">
        <v>213</v>
      </c>
      <c r="I218" s="10" t="s">
        <v>214</v>
      </c>
      <c r="J218" s="10"/>
      <c r="K218" s="11">
        <v>120</v>
      </c>
      <c r="L218" s="11">
        <v>720</v>
      </c>
      <c r="M218" s="11"/>
      <c r="N218" s="11"/>
      <c r="O218" s="11"/>
      <c r="P218" s="11"/>
      <c r="Q218" s="11"/>
      <c r="R218" s="11"/>
      <c r="S218" s="11"/>
      <c r="T218" s="11"/>
      <c r="U218" s="11">
        <v>120</v>
      </c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>
        <v>120</v>
      </c>
      <c r="AH218" s="11"/>
      <c r="AI218" s="11"/>
      <c r="AJ218" s="11"/>
      <c r="AK218" s="11"/>
      <c r="AL218" s="11"/>
      <c r="AM218" s="11"/>
      <c r="AN218" s="11"/>
      <c r="AO218" s="11"/>
      <c r="AP218" s="11"/>
      <c r="AQ218" s="11">
        <v>120</v>
      </c>
      <c r="AR218" s="11"/>
      <c r="AS218" s="11"/>
      <c r="AT218" s="11"/>
      <c r="AU218" s="11"/>
      <c r="AV218" s="11"/>
      <c r="AW218" s="20" t="str">
        <f>HYPERLINK("http://www.openstreetmap.org/?mlat=34.1749&amp;mlon=44.4233&amp;zoom=12#map=12/34.1749/44.4233","Maplink1")</f>
        <v>Maplink1</v>
      </c>
      <c r="AX218" s="20" t="str">
        <f>HYPERLINK("https://www.google.iq/maps/search/+34.1749,44.4233/@34.1749,44.4233,14z?hl=en","Maplink2")</f>
        <v>Maplink2</v>
      </c>
      <c r="AY218" s="20" t="str">
        <f>HYPERLINK("http://www.bing.com/maps/?lvl=14&amp;sty=h&amp;cp=34.1749~44.4233&amp;sp=point.34.1749_44.4233","Maplink3")</f>
        <v>Maplink3</v>
      </c>
    </row>
    <row r="219" spans="1:51" x14ac:dyDescent="0.25">
      <c r="A219" s="9">
        <v>27154</v>
      </c>
      <c r="B219" s="10" t="s">
        <v>13</v>
      </c>
      <c r="C219" s="10" t="s">
        <v>211</v>
      </c>
      <c r="D219" s="10" t="s">
        <v>1072</v>
      </c>
      <c r="E219" s="10" t="s">
        <v>297</v>
      </c>
      <c r="F219" s="10">
        <v>34.122356295199999</v>
      </c>
      <c r="G219" s="10">
        <v>44.597043058300002</v>
      </c>
      <c r="H219" s="10" t="s">
        <v>213</v>
      </c>
      <c r="I219" s="10" t="s">
        <v>214</v>
      </c>
      <c r="J219" s="10"/>
      <c r="K219" s="11">
        <v>47</v>
      </c>
      <c r="L219" s="11">
        <v>282</v>
      </c>
      <c r="M219" s="11"/>
      <c r="N219" s="11"/>
      <c r="O219" s="11"/>
      <c r="P219" s="11"/>
      <c r="Q219" s="11"/>
      <c r="R219" s="11"/>
      <c r="S219" s="11"/>
      <c r="T219" s="11"/>
      <c r="U219" s="11">
        <v>47</v>
      </c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>
        <v>47</v>
      </c>
      <c r="AO219" s="11"/>
      <c r="AP219" s="11"/>
      <c r="AQ219" s="11">
        <v>47</v>
      </c>
      <c r="AR219" s="11"/>
      <c r="AS219" s="11"/>
      <c r="AT219" s="11"/>
      <c r="AU219" s="11"/>
      <c r="AV219" s="11"/>
      <c r="AW219" s="20" t="str">
        <f>HYPERLINK("http://www.openstreetmap.org/?mlat=34.1224&amp;mlon=44.597&amp;zoom=12#map=12/34.1224/44.597","Maplink1")</f>
        <v>Maplink1</v>
      </c>
      <c r="AX219" s="20" t="str">
        <f>HYPERLINK("https://www.google.iq/maps/search/+34.1224,44.597/@34.1224,44.597,14z?hl=en","Maplink2")</f>
        <v>Maplink2</v>
      </c>
      <c r="AY219" s="20" t="str">
        <f>HYPERLINK("http://www.bing.com/maps/?lvl=14&amp;sty=h&amp;cp=34.1224~44.597&amp;sp=point.34.1224_44.597","Maplink3")</f>
        <v>Maplink3</v>
      </c>
    </row>
    <row r="220" spans="1:51" x14ac:dyDescent="0.25">
      <c r="A220" s="9">
        <v>21221</v>
      </c>
      <c r="B220" s="10" t="s">
        <v>13</v>
      </c>
      <c r="C220" s="10" t="s">
        <v>211</v>
      </c>
      <c r="D220" s="10" t="s">
        <v>1073</v>
      </c>
      <c r="E220" s="10" t="s">
        <v>1074</v>
      </c>
      <c r="F220" s="10">
        <v>34.220855456300001</v>
      </c>
      <c r="G220" s="10">
        <v>44.531554183099999</v>
      </c>
      <c r="H220" s="10" t="s">
        <v>213</v>
      </c>
      <c r="I220" s="10" t="s">
        <v>214</v>
      </c>
      <c r="J220" s="10" t="s">
        <v>298</v>
      </c>
      <c r="K220" s="11">
        <v>55</v>
      </c>
      <c r="L220" s="11">
        <v>330</v>
      </c>
      <c r="M220" s="11"/>
      <c r="N220" s="11"/>
      <c r="O220" s="11"/>
      <c r="P220" s="11"/>
      <c r="Q220" s="11"/>
      <c r="R220" s="11"/>
      <c r="S220" s="11"/>
      <c r="T220" s="11"/>
      <c r="U220" s="11">
        <v>55</v>
      </c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>
        <v>55</v>
      </c>
      <c r="AH220" s="11"/>
      <c r="AI220" s="11"/>
      <c r="AJ220" s="11"/>
      <c r="AK220" s="11"/>
      <c r="AL220" s="11"/>
      <c r="AM220" s="11"/>
      <c r="AN220" s="11"/>
      <c r="AO220" s="11"/>
      <c r="AP220" s="11"/>
      <c r="AQ220" s="11">
        <v>55</v>
      </c>
      <c r="AR220" s="11"/>
      <c r="AS220" s="11"/>
      <c r="AT220" s="11"/>
      <c r="AU220" s="11"/>
      <c r="AV220" s="11"/>
      <c r="AW220" s="20" t="str">
        <f>HYPERLINK("http://www.openstreetmap.org/?mlat=34.2209&amp;mlon=44.5316&amp;zoom=12#map=12/34.2209/44.5316","Maplink1")</f>
        <v>Maplink1</v>
      </c>
      <c r="AX220" s="20" t="str">
        <f>HYPERLINK("https://www.google.iq/maps/search/+34.2209,44.5316/@34.2209,44.5316,14z?hl=en","Maplink2")</f>
        <v>Maplink2</v>
      </c>
      <c r="AY220" s="20" t="str">
        <f>HYPERLINK("http://www.bing.com/maps/?lvl=14&amp;sty=h&amp;cp=34.2209~44.5316&amp;sp=point.34.2209_44.5316","Maplink3")</f>
        <v>Maplink3</v>
      </c>
    </row>
    <row r="221" spans="1:51" x14ac:dyDescent="0.25">
      <c r="A221" s="9">
        <v>27243</v>
      </c>
      <c r="B221" s="10" t="s">
        <v>13</v>
      </c>
      <c r="C221" s="10" t="s">
        <v>211</v>
      </c>
      <c r="D221" s="10" t="s">
        <v>1075</v>
      </c>
      <c r="E221" s="10" t="s">
        <v>299</v>
      </c>
      <c r="F221" s="10">
        <v>34.074099895899998</v>
      </c>
      <c r="G221" s="10">
        <v>44.965771639000003</v>
      </c>
      <c r="H221" s="10" t="s">
        <v>213</v>
      </c>
      <c r="I221" s="10" t="s">
        <v>214</v>
      </c>
      <c r="J221" s="10"/>
      <c r="K221" s="11">
        <v>920</v>
      </c>
      <c r="L221" s="11">
        <v>5520</v>
      </c>
      <c r="M221" s="11"/>
      <c r="N221" s="11"/>
      <c r="O221" s="11"/>
      <c r="P221" s="11"/>
      <c r="Q221" s="11"/>
      <c r="R221" s="11">
        <v>785</v>
      </c>
      <c r="S221" s="11">
        <v>10</v>
      </c>
      <c r="T221" s="11"/>
      <c r="U221" s="11">
        <v>100</v>
      </c>
      <c r="V221" s="11"/>
      <c r="W221" s="11"/>
      <c r="X221" s="11"/>
      <c r="Y221" s="11"/>
      <c r="Z221" s="11"/>
      <c r="AA221" s="11"/>
      <c r="AB221" s="11">
        <v>25</v>
      </c>
      <c r="AC221" s="11"/>
      <c r="AD221" s="11"/>
      <c r="AE221" s="11"/>
      <c r="AF221" s="11">
        <v>750</v>
      </c>
      <c r="AG221" s="11">
        <v>145</v>
      </c>
      <c r="AH221" s="11"/>
      <c r="AI221" s="11"/>
      <c r="AJ221" s="11"/>
      <c r="AK221" s="11"/>
      <c r="AL221" s="11"/>
      <c r="AM221" s="11"/>
      <c r="AN221" s="11">
        <v>25</v>
      </c>
      <c r="AO221" s="11"/>
      <c r="AP221" s="11"/>
      <c r="AQ221" s="11"/>
      <c r="AR221" s="11"/>
      <c r="AS221" s="11">
        <v>920</v>
      </c>
      <c r="AT221" s="11"/>
      <c r="AU221" s="11"/>
      <c r="AV221" s="11"/>
      <c r="AW221" s="20" t="str">
        <f>HYPERLINK("http://www.openstreetmap.org/?mlat=34.0741&amp;mlon=44.9658&amp;zoom=12#map=12/34.0741/44.9658","Maplink1")</f>
        <v>Maplink1</v>
      </c>
      <c r="AX221" s="20" t="str">
        <f>HYPERLINK("https://www.google.iq/maps/search/+34.0741,44.9658/@34.0741,44.9658,14z?hl=en","Maplink2")</f>
        <v>Maplink2</v>
      </c>
      <c r="AY221" s="20" t="str">
        <f>HYPERLINK("http://www.bing.com/maps/?lvl=14&amp;sty=h&amp;cp=34.0741~44.9658&amp;sp=point.34.0741_44.9658","Maplink3")</f>
        <v>Maplink3</v>
      </c>
    </row>
    <row r="222" spans="1:51" x14ac:dyDescent="0.25">
      <c r="A222" s="9">
        <v>27168</v>
      </c>
      <c r="B222" s="10" t="s">
        <v>13</v>
      </c>
      <c r="C222" s="10" t="s">
        <v>211</v>
      </c>
      <c r="D222" s="10" t="s">
        <v>300</v>
      </c>
      <c r="E222" s="10" t="s">
        <v>301</v>
      </c>
      <c r="F222" s="10">
        <v>34.1136995361</v>
      </c>
      <c r="G222" s="10">
        <v>44.505915601300003</v>
      </c>
      <c r="H222" s="10" t="s">
        <v>213</v>
      </c>
      <c r="I222" s="10" t="s">
        <v>214</v>
      </c>
      <c r="J222" s="10"/>
      <c r="K222" s="11">
        <v>10</v>
      </c>
      <c r="L222" s="11">
        <v>60</v>
      </c>
      <c r="M222" s="11"/>
      <c r="N222" s="11"/>
      <c r="O222" s="11"/>
      <c r="P222" s="11"/>
      <c r="Q222" s="11"/>
      <c r="R222" s="11"/>
      <c r="S222" s="11"/>
      <c r="T222" s="11"/>
      <c r="U222" s="11">
        <v>10</v>
      </c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>
        <v>10</v>
      </c>
      <c r="AH222" s="11"/>
      <c r="AI222" s="11"/>
      <c r="AJ222" s="11"/>
      <c r="AK222" s="11"/>
      <c r="AL222" s="11"/>
      <c r="AM222" s="11"/>
      <c r="AN222" s="11"/>
      <c r="AO222" s="11"/>
      <c r="AP222" s="11"/>
      <c r="AQ222" s="11">
        <v>10</v>
      </c>
      <c r="AR222" s="11"/>
      <c r="AS222" s="11"/>
      <c r="AT222" s="11"/>
      <c r="AU222" s="11"/>
      <c r="AV222" s="11"/>
      <c r="AW222" s="20" t="str">
        <f>HYPERLINK("http://www.openstreetmap.org/?mlat=34.1137&amp;mlon=44.5059&amp;zoom=12#map=12/34.1137/44.5059","Maplink1")</f>
        <v>Maplink1</v>
      </c>
      <c r="AX222" s="20" t="str">
        <f>HYPERLINK("https://www.google.iq/maps/search/+34.1137,44.5059/@34.1137,44.5059,14z?hl=en","Maplink2")</f>
        <v>Maplink2</v>
      </c>
      <c r="AY222" s="20" t="str">
        <f>HYPERLINK("http://www.bing.com/maps/?lvl=14&amp;sty=h&amp;cp=34.1137~44.5059&amp;sp=point.34.1137_44.5059","Maplink3")</f>
        <v>Maplink3</v>
      </c>
    </row>
    <row r="223" spans="1:51" x14ac:dyDescent="0.25">
      <c r="A223" s="9">
        <v>25682</v>
      </c>
      <c r="B223" s="10" t="s">
        <v>13</v>
      </c>
      <c r="C223" s="10" t="s">
        <v>211</v>
      </c>
      <c r="D223" s="10" t="s">
        <v>1076</v>
      </c>
      <c r="E223" s="10" t="s">
        <v>302</v>
      </c>
      <c r="F223" s="10">
        <v>34.0489616152</v>
      </c>
      <c r="G223" s="10">
        <v>44.887329116499998</v>
      </c>
      <c r="H223" s="10" t="s">
        <v>213</v>
      </c>
      <c r="I223" s="10" t="s">
        <v>214</v>
      </c>
      <c r="J223" s="10"/>
      <c r="K223" s="11">
        <v>250</v>
      </c>
      <c r="L223" s="11">
        <v>1500</v>
      </c>
      <c r="M223" s="11"/>
      <c r="N223" s="11"/>
      <c r="O223" s="11"/>
      <c r="P223" s="11"/>
      <c r="Q223" s="11"/>
      <c r="R223" s="11">
        <v>130</v>
      </c>
      <c r="S223" s="11"/>
      <c r="T223" s="11"/>
      <c r="U223" s="11">
        <v>60</v>
      </c>
      <c r="V223" s="11"/>
      <c r="W223" s="11"/>
      <c r="X223" s="11"/>
      <c r="Y223" s="11"/>
      <c r="Z223" s="11"/>
      <c r="AA223" s="11"/>
      <c r="AB223" s="11">
        <v>60</v>
      </c>
      <c r="AC223" s="11"/>
      <c r="AD223" s="11"/>
      <c r="AE223" s="11"/>
      <c r="AF223" s="11">
        <v>150</v>
      </c>
      <c r="AG223" s="11"/>
      <c r="AH223" s="11"/>
      <c r="AI223" s="11"/>
      <c r="AJ223" s="11"/>
      <c r="AK223" s="11"/>
      <c r="AL223" s="11"/>
      <c r="AM223" s="11"/>
      <c r="AN223" s="11">
        <v>100</v>
      </c>
      <c r="AO223" s="11"/>
      <c r="AP223" s="11"/>
      <c r="AQ223" s="11"/>
      <c r="AR223" s="11"/>
      <c r="AS223" s="11">
        <v>250</v>
      </c>
      <c r="AT223" s="11"/>
      <c r="AU223" s="11"/>
      <c r="AV223" s="11"/>
      <c r="AW223" s="20" t="str">
        <f>HYPERLINK("http://www.openstreetmap.org/?mlat=34.049&amp;mlon=44.8873&amp;zoom=12#map=12/34.049/44.8873","Maplink1")</f>
        <v>Maplink1</v>
      </c>
      <c r="AX223" s="20" t="str">
        <f>HYPERLINK("https://www.google.iq/maps/search/+34.049,44.8873/@34.049,44.8873,14z?hl=en","Maplink2")</f>
        <v>Maplink2</v>
      </c>
      <c r="AY223" s="20" t="str">
        <f>HYPERLINK("http://www.bing.com/maps/?lvl=14&amp;sty=h&amp;cp=34.049~44.8873&amp;sp=point.34.049_44.8873","Maplink3")</f>
        <v>Maplink3</v>
      </c>
    </row>
    <row r="224" spans="1:51" x14ac:dyDescent="0.25">
      <c r="A224" s="9">
        <v>25683</v>
      </c>
      <c r="B224" s="10" t="s">
        <v>13</v>
      </c>
      <c r="C224" s="10" t="s">
        <v>211</v>
      </c>
      <c r="D224" s="10" t="s">
        <v>1077</v>
      </c>
      <c r="E224" s="10" t="s">
        <v>303</v>
      </c>
      <c r="F224" s="10">
        <v>34.034905373100003</v>
      </c>
      <c r="G224" s="10">
        <v>44.874784592499999</v>
      </c>
      <c r="H224" s="10" t="s">
        <v>213</v>
      </c>
      <c r="I224" s="10" t="s">
        <v>214</v>
      </c>
      <c r="J224" s="10"/>
      <c r="K224" s="11">
        <v>200</v>
      </c>
      <c r="L224" s="11">
        <v>1200</v>
      </c>
      <c r="M224" s="11"/>
      <c r="N224" s="11"/>
      <c r="O224" s="11"/>
      <c r="P224" s="11"/>
      <c r="Q224" s="11"/>
      <c r="R224" s="11">
        <v>126</v>
      </c>
      <c r="S224" s="11"/>
      <c r="T224" s="11"/>
      <c r="U224" s="11">
        <v>35</v>
      </c>
      <c r="V224" s="11"/>
      <c r="W224" s="11"/>
      <c r="X224" s="11"/>
      <c r="Y224" s="11"/>
      <c r="Z224" s="11"/>
      <c r="AA224" s="11"/>
      <c r="AB224" s="11">
        <v>39</v>
      </c>
      <c r="AC224" s="11"/>
      <c r="AD224" s="11"/>
      <c r="AE224" s="11"/>
      <c r="AF224" s="11">
        <v>143</v>
      </c>
      <c r="AG224" s="11"/>
      <c r="AH224" s="11"/>
      <c r="AI224" s="11"/>
      <c r="AJ224" s="11"/>
      <c r="AK224" s="11"/>
      <c r="AL224" s="11"/>
      <c r="AM224" s="11"/>
      <c r="AN224" s="11">
        <v>57</v>
      </c>
      <c r="AO224" s="11"/>
      <c r="AP224" s="11"/>
      <c r="AQ224" s="11"/>
      <c r="AR224" s="11"/>
      <c r="AS224" s="11">
        <v>200</v>
      </c>
      <c r="AT224" s="11"/>
      <c r="AU224" s="11"/>
      <c r="AV224" s="11"/>
      <c r="AW224" s="20" t="str">
        <f>HYPERLINK("http://www.openstreetmap.org/?mlat=34.0349&amp;mlon=44.8748&amp;zoom=12#map=12/34.0349/44.8748","Maplink1")</f>
        <v>Maplink1</v>
      </c>
      <c r="AX224" s="20" t="str">
        <f>HYPERLINK("https://www.google.iq/maps/search/+34.0349,44.8748/@34.0349,44.8748,14z?hl=en","Maplink2")</f>
        <v>Maplink2</v>
      </c>
      <c r="AY224" s="20" t="str">
        <f>HYPERLINK("http://www.bing.com/maps/?lvl=14&amp;sty=h&amp;cp=34.0349~44.8748&amp;sp=point.34.0349_44.8748","Maplink3")</f>
        <v>Maplink3</v>
      </c>
    </row>
    <row r="225" spans="1:51" x14ac:dyDescent="0.25">
      <c r="A225" s="9">
        <v>25684</v>
      </c>
      <c r="B225" s="10" t="s">
        <v>13</v>
      </c>
      <c r="C225" s="10" t="s">
        <v>211</v>
      </c>
      <c r="D225" s="10" t="s">
        <v>1078</v>
      </c>
      <c r="E225" s="10" t="s">
        <v>304</v>
      </c>
      <c r="F225" s="10">
        <v>34.039342375499999</v>
      </c>
      <c r="G225" s="10">
        <v>44.8798900098</v>
      </c>
      <c r="H225" s="10" t="s">
        <v>213</v>
      </c>
      <c r="I225" s="10" t="s">
        <v>214</v>
      </c>
      <c r="J225" s="10"/>
      <c r="K225" s="11">
        <v>182</v>
      </c>
      <c r="L225" s="11">
        <v>1092</v>
      </c>
      <c r="M225" s="11"/>
      <c r="N225" s="11"/>
      <c r="O225" s="11"/>
      <c r="P225" s="11"/>
      <c r="Q225" s="11"/>
      <c r="R225" s="11">
        <v>182</v>
      </c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>
        <v>182</v>
      </c>
      <c r="AO225" s="11"/>
      <c r="AP225" s="11"/>
      <c r="AQ225" s="11"/>
      <c r="AR225" s="11"/>
      <c r="AS225" s="11">
        <v>182</v>
      </c>
      <c r="AT225" s="11"/>
      <c r="AU225" s="11"/>
      <c r="AV225" s="11"/>
      <c r="AW225" s="20" t="str">
        <f>HYPERLINK("http://www.openstreetmap.org/?mlat=34.0393&amp;mlon=44.8799&amp;zoom=12#map=12/34.0393/44.8799","Maplink1")</f>
        <v>Maplink1</v>
      </c>
      <c r="AX225" s="20" t="str">
        <f>HYPERLINK("https://www.google.iq/maps/search/+34.0393,44.8799/@34.0393,44.8799,14z?hl=en","Maplink2")</f>
        <v>Maplink2</v>
      </c>
      <c r="AY225" s="20" t="str">
        <f>HYPERLINK("http://www.bing.com/maps/?lvl=14&amp;sty=h&amp;cp=34.0393~44.8799&amp;sp=point.34.0393_44.8799","Maplink3")</f>
        <v>Maplink3</v>
      </c>
    </row>
    <row r="226" spans="1:51" x14ac:dyDescent="0.25">
      <c r="A226" s="9">
        <v>27184</v>
      </c>
      <c r="B226" s="10" t="s">
        <v>13</v>
      </c>
      <c r="C226" s="10" t="s">
        <v>211</v>
      </c>
      <c r="D226" s="10" t="s">
        <v>305</v>
      </c>
      <c r="E226" s="10" t="s">
        <v>306</v>
      </c>
      <c r="F226" s="10">
        <v>34.237330974599999</v>
      </c>
      <c r="G226" s="10">
        <v>44.544709253299999</v>
      </c>
      <c r="H226" s="10" t="s">
        <v>213</v>
      </c>
      <c r="I226" s="10" t="s">
        <v>214</v>
      </c>
      <c r="J226" s="10"/>
      <c r="K226" s="11">
        <v>22</v>
      </c>
      <c r="L226" s="11">
        <v>132</v>
      </c>
      <c r="M226" s="11"/>
      <c r="N226" s="11"/>
      <c r="O226" s="11"/>
      <c r="P226" s="11"/>
      <c r="Q226" s="11"/>
      <c r="R226" s="11"/>
      <c r="S226" s="11"/>
      <c r="T226" s="11"/>
      <c r="U226" s="11">
        <v>22</v>
      </c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>
        <v>22</v>
      </c>
      <c r="AH226" s="11"/>
      <c r="AI226" s="11"/>
      <c r="AJ226" s="11"/>
      <c r="AK226" s="11"/>
      <c r="AL226" s="11"/>
      <c r="AM226" s="11"/>
      <c r="AN226" s="11"/>
      <c r="AO226" s="11"/>
      <c r="AP226" s="11"/>
      <c r="AQ226" s="11">
        <v>22</v>
      </c>
      <c r="AR226" s="11"/>
      <c r="AS226" s="11"/>
      <c r="AT226" s="11"/>
      <c r="AU226" s="11"/>
      <c r="AV226" s="11"/>
      <c r="AW226" s="20" t="str">
        <f>HYPERLINK("http://www.openstreetmap.org/?mlat=34.2373&amp;mlon=44.5447&amp;zoom=12#map=12/34.2373/44.5447","Maplink1")</f>
        <v>Maplink1</v>
      </c>
      <c r="AX226" s="20" t="str">
        <f>HYPERLINK("https://www.google.iq/maps/search/+34.2373,44.5447/@34.2373,44.5447,14z?hl=en","Maplink2")</f>
        <v>Maplink2</v>
      </c>
      <c r="AY226" s="20" t="str">
        <f>HYPERLINK("http://www.bing.com/maps/?lvl=14&amp;sty=h&amp;cp=34.2373~44.5447&amp;sp=point.34.2373_44.5447","Maplink3")</f>
        <v>Maplink3</v>
      </c>
    </row>
    <row r="227" spans="1:51" x14ac:dyDescent="0.25">
      <c r="A227" s="9">
        <v>27175</v>
      </c>
      <c r="B227" s="10" t="s">
        <v>13</v>
      </c>
      <c r="C227" s="10" t="s">
        <v>211</v>
      </c>
      <c r="D227" s="10" t="s">
        <v>307</v>
      </c>
      <c r="E227" s="10" t="s">
        <v>308</v>
      </c>
      <c r="F227" s="10">
        <v>34.044708700500003</v>
      </c>
      <c r="G227" s="10">
        <v>44.416366925600002</v>
      </c>
      <c r="H227" s="10" t="s">
        <v>213</v>
      </c>
      <c r="I227" s="10" t="s">
        <v>214</v>
      </c>
      <c r="J227" s="10"/>
      <c r="K227" s="11">
        <v>60</v>
      </c>
      <c r="L227" s="11">
        <v>360</v>
      </c>
      <c r="M227" s="11"/>
      <c r="N227" s="11"/>
      <c r="O227" s="11"/>
      <c r="P227" s="11"/>
      <c r="Q227" s="11"/>
      <c r="R227" s="11"/>
      <c r="S227" s="11"/>
      <c r="T227" s="11"/>
      <c r="U227" s="11">
        <v>60</v>
      </c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>
        <v>60</v>
      </c>
      <c r="AH227" s="11"/>
      <c r="AI227" s="11"/>
      <c r="AJ227" s="11"/>
      <c r="AK227" s="11"/>
      <c r="AL227" s="11"/>
      <c r="AM227" s="11"/>
      <c r="AN227" s="11"/>
      <c r="AO227" s="11"/>
      <c r="AP227" s="11"/>
      <c r="AQ227" s="11">
        <v>60</v>
      </c>
      <c r="AR227" s="11"/>
      <c r="AS227" s="11"/>
      <c r="AT227" s="11"/>
      <c r="AU227" s="11"/>
      <c r="AV227" s="11"/>
      <c r="AW227" s="20" t="str">
        <f>HYPERLINK("http://www.openstreetmap.org/?mlat=34.0447&amp;mlon=44.4164&amp;zoom=12#map=12/34.0447/44.4164","Maplink1")</f>
        <v>Maplink1</v>
      </c>
      <c r="AX227" s="20" t="str">
        <f>HYPERLINK("https://www.google.iq/maps/search/+34.0447,44.4164/@34.0447,44.4164,14z?hl=en","Maplink2")</f>
        <v>Maplink2</v>
      </c>
      <c r="AY227" s="20" t="str">
        <f>HYPERLINK("http://www.bing.com/maps/?lvl=14&amp;sty=h&amp;cp=34.0447~44.4164&amp;sp=point.34.0447_44.4164","Maplink3")</f>
        <v>Maplink3</v>
      </c>
    </row>
    <row r="228" spans="1:51" x14ac:dyDescent="0.25">
      <c r="A228" s="9">
        <v>28461</v>
      </c>
      <c r="B228" s="10" t="s">
        <v>13</v>
      </c>
      <c r="C228" s="10" t="s">
        <v>211</v>
      </c>
      <c r="D228" s="10" t="s">
        <v>309</v>
      </c>
      <c r="E228" s="10" t="s">
        <v>310</v>
      </c>
      <c r="F228" s="10">
        <v>34.374587308400002</v>
      </c>
      <c r="G228" s="10">
        <v>44.586983053899999</v>
      </c>
      <c r="H228" s="10" t="s">
        <v>213</v>
      </c>
      <c r="I228" s="10" t="s">
        <v>214</v>
      </c>
      <c r="J228" s="10"/>
      <c r="K228" s="11">
        <v>75</v>
      </c>
      <c r="L228" s="11">
        <v>450</v>
      </c>
      <c r="M228" s="11"/>
      <c r="N228" s="11"/>
      <c r="O228" s="11"/>
      <c r="P228" s="11"/>
      <c r="Q228" s="11"/>
      <c r="R228" s="11">
        <v>75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>
        <v>75</v>
      </c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>
        <v>75</v>
      </c>
      <c r="AR228" s="11"/>
      <c r="AS228" s="11"/>
      <c r="AT228" s="11"/>
      <c r="AU228" s="11"/>
      <c r="AV228" s="11"/>
      <c r="AW228" s="20" t="str">
        <f>HYPERLINK("http://www.openstreetmap.org/?mlat=34.3746&amp;mlon=44.587&amp;zoom=12#map=12/34.3746/44.587","Maplink1")</f>
        <v>Maplink1</v>
      </c>
      <c r="AX228" s="20" t="str">
        <f>HYPERLINK("https://www.google.iq/maps/search/+34.3746,44.587/@34.3746,44.587,14z?hl=en","Maplink2")</f>
        <v>Maplink2</v>
      </c>
      <c r="AY228" s="20" t="str">
        <f>HYPERLINK("http://www.bing.com/maps/?lvl=14&amp;sty=h&amp;cp=34.3746~44.587&amp;sp=point.34.3746_44.587","Maplink3")</f>
        <v>Maplink3</v>
      </c>
    </row>
    <row r="229" spans="1:51" x14ac:dyDescent="0.25">
      <c r="A229" s="9">
        <v>27161</v>
      </c>
      <c r="B229" s="10" t="s">
        <v>13</v>
      </c>
      <c r="C229" s="10" t="s">
        <v>211</v>
      </c>
      <c r="D229" s="10" t="s">
        <v>311</v>
      </c>
      <c r="E229" s="10" t="s">
        <v>312</v>
      </c>
      <c r="F229" s="10">
        <v>34.375432904699998</v>
      </c>
      <c r="G229" s="10">
        <v>44.5952517415</v>
      </c>
      <c r="H229" s="10" t="s">
        <v>213</v>
      </c>
      <c r="I229" s="10" t="s">
        <v>214</v>
      </c>
      <c r="J229" s="10"/>
      <c r="K229" s="11">
        <v>90</v>
      </c>
      <c r="L229" s="11">
        <v>540</v>
      </c>
      <c r="M229" s="11"/>
      <c r="N229" s="11"/>
      <c r="O229" s="11"/>
      <c r="P229" s="11"/>
      <c r="Q229" s="11"/>
      <c r="R229" s="11"/>
      <c r="S229" s="11"/>
      <c r="T229" s="11"/>
      <c r="U229" s="11">
        <v>90</v>
      </c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>
        <v>90</v>
      </c>
      <c r="AH229" s="11"/>
      <c r="AI229" s="11"/>
      <c r="AJ229" s="11"/>
      <c r="AK229" s="11"/>
      <c r="AL229" s="11"/>
      <c r="AM229" s="11"/>
      <c r="AN229" s="11"/>
      <c r="AO229" s="11"/>
      <c r="AP229" s="11"/>
      <c r="AQ229" s="11">
        <v>90</v>
      </c>
      <c r="AR229" s="11"/>
      <c r="AS229" s="11"/>
      <c r="AT229" s="11"/>
      <c r="AU229" s="11"/>
      <c r="AV229" s="11"/>
      <c r="AW229" s="20" t="str">
        <f>HYPERLINK("http://www.openstreetmap.org/?mlat=34.3754&amp;mlon=44.5953&amp;zoom=12#map=12/34.3754/44.5953","Maplink1")</f>
        <v>Maplink1</v>
      </c>
      <c r="AX229" s="20" t="str">
        <f>HYPERLINK("https://www.google.iq/maps/search/+34.3754,44.5953/@34.3754,44.5953,14z?hl=en","Maplink2")</f>
        <v>Maplink2</v>
      </c>
      <c r="AY229" s="20" t="str">
        <f>HYPERLINK("http://www.bing.com/maps/?lvl=14&amp;sty=h&amp;cp=34.3754~44.5953&amp;sp=point.34.3754_44.5953","Maplink3")</f>
        <v>Maplink3</v>
      </c>
    </row>
    <row r="230" spans="1:51" x14ac:dyDescent="0.25">
      <c r="A230" s="9">
        <v>28470</v>
      </c>
      <c r="B230" s="10" t="s">
        <v>13</v>
      </c>
      <c r="C230" s="10" t="s">
        <v>211</v>
      </c>
      <c r="D230" s="10" t="s">
        <v>313</v>
      </c>
      <c r="E230" s="10" t="s">
        <v>314</v>
      </c>
      <c r="F230" s="10">
        <v>34.176217126600001</v>
      </c>
      <c r="G230" s="10">
        <v>44.424383835699999</v>
      </c>
      <c r="H230" s="10" t="s">
        <v>213</v>
      </c>
      <c r="I230" s="10" t="s">
        <v>214</v>
      </c>
      <c r="J230" s="10"/>
      <c r="K230" s="11">
        <v>43</v>
      </c>
      <c r="L230" s="11">
        <v>258</v>
      </c>
      <c r="M230" s="11"/>
      <c r="N230" s="11"/>
      <c r="O230" s="11"/>
      <c r="P230" s="11"/>
      <c r="Q230" s="11"/>
      <c r="R230" s="11">
        <v>43</v>
      </c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>
        <v>43</v>
      </c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>
        <v>43</v>
      </c>
      <c r="AR230" s="11"/>
      <c r="AS230" s="11"/>
      <c r="AT230" s="11"/>
      <c r="AU230" s="11"/>
      <c r="AV230" s="11"/>
      <c r="AW230" s="20" t="str">
        <f>HYPERLINK("http://www.openstreetmap.org/?mlat=34.1762&amp;mlon=44.4244&amp;zoom=12#map=12/34.1762/44.4244","Maplink1")</f>
        <v>Maplink1</v>
      </c>
      <c r="AX230" s="20" t="str">
        <f>HYPERLINK("https://www.google.iq/maps/search/+34.1762,44.4244/@34.1762,44.4244,14z?hl=en","Maplink2")</f>
        <v>Maplink2</v>
      </c>
      <c r="AY230" s="20" t="str">
        <f>HYPERLINK("http://www.bing.com/maps/?lvl=14&amp;sty=h&amp;cp=34.1762~44.4244&amp;sp=point.34.1762_44.4244","Maplink3")</f>
        <v>Maplink3</v>
      </c>
    </row>
    <row r="231" spans="1:51" x14ac:dyDescent="0.25">
      <c r="A231" s="9">
        <v>27169</v>
      </c>
      <c r="B231" s="10" t="s">
        <v>13</v>
      </c>
      <c r="C231" s="10" t="s">
        <v>211</v>
      </c>
      <c r="D231" s="10" t="s">
        <v>315</v>
      </c>
      <c r="E231" s="10" t="s">
        <v>316</v>
      </c>
      <c r="F231" s="10">
        <v>34.146352327999999</v>
      </c>
      <c r="G231" s="10">
        <v>44.491328989099998</v>
      </c>
      <c r="H231" s="10" t="s">
        <v>213</v>
      </c>
      <c r="I231" s="10" t="s">
        <v>214</v>
      </c>
      <c r="J231" s="10"/>
      <c r="K231" s="11">
        <v>7</v>
      </c>
      <c r="L231" s="11">
        <v>42</v>
      </c>
      <c r="M231" s="11"/>
      <c r="N231" s="11"/>
      <c r="O231" s="11"/>
      <c r="P231" s="11"/>
      <c r="Q231" s="11"/>
      <c r="R231" s="11"/>
      <c r="S231" s="11"/>
      <c r="T231" s="11"/>
      <c r="U231" s="11">
        <v>7</v>
      </c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>
        <v>7</v>
      </c>
      <c r="AH231" s="11"/>
      <c r="AI231" s="11"/>
      <c r="AJ231" s="11"/>
      <c r="AK231" s="11"/>
      <c r="AL231" s="11"/>
      <c r="AM231" s="11"/>
      <c r="AN231" s="11"/>
      <c r="AO231" s="11"/>
      <c r="AP231" s="11"/>
      <c r="AQ231" s="11">
        <v>7</v>
      </c>
      <c r="AR231" s="11"/>
      <c r="AS231" s="11"/>
      <c r="AT231" s="11"/>
      <c r="AU231" s="11"/>
      <c r="AV231" s="11"/>
      <c r="AW231" s="20" t="str">
        <f>HYPERLINK("http://www.openstreetmap.org/?mlat=34.1464&amp;mlon=44.4913&amp;zoom=12#map=12/34.1464/44.4913","Maplink1")</f>
        <v>Maplink1</v>
      </c>
      <c r="AX231" s="20" t="str">
        <f>HYPERLINK("https://www.google.iq/maps/search/+34.1464,44.4913/@34.1464,44.4913,14z?hl=en","Maplink2")</f>
        <v>Maplink2</v>
      </c>
      <c r="AY231" s="20" t="str">
        <f>HYPERLINK("http://www.bing.com/maps/?lvl=14&amp;sty=h&amp;cp=34.1464~44.4913&amp;sp=point.34.1464_44.4913","Maplink3")</f>
        <v>Maplink3</v>
      </c>
    </row>
    <row r="232" spans="1:51" x14ac:dyDescent="0.25">
      <c r="A232" s="9">
        <v>25669</v>
      </c>
      <c r="B232" s="10" t="s">
        <v>13</v>
      </c>
      <c r="C232" s="10" t="s">
        <v>211</v>
      </c>
      <c r="D232" s="10" t="s">
        <v>317</v>
      </c>
      <c r="E232" s="10" t="s">
        <v>318</v>
      </c>
      <c r="F232" s="10">
        <v>34.056919016899997</v>
      </c>
      <c r="G232" s="10">
        <v>44.884461835000003</v>
      </c>
      <c r="H232" s="10" t="s">
        <v>213</v>
      </c>
      <c r="I232" s="10" t="s">
        <v>214</v>
      </c>
      <c r="J232" s="10"/>
      <c r="K232" s="11">
        <v>200</v>
      </c>
      <c r="L232" s="11">
        <v>1200</v>
      </c>
      <c r="M232" s="11"/>
      <c r="N232" s="11"/>
      <c r="O232" s="11"/>
      <c r="P232" s="11"/>
      <c r="Q232" s="11"/>
      <c r="R232" s="11">
        <v>83</v>
      </c>
      <c r="S232" s="11"/>
      <c r="T232" s="11"/>
      <c r="U232" s="11">
        <v>45</v>
      </c>
      <c r="V232" s="11"/>
      <c r="W232" s="11"/>
      <c r="X232" s="11"/>
      <c r="Y232" s="11"/>
      <c r="Z232" s="11"/>
      <c r="AA232" s="11"/>
      <c r="AB232" s="11">
        <v>72</v>
      </c>
      <c r="AC232" s="11"/>
      <c r="AD232" s="11"/>
      <c r="AE232" s="11"/>
      <c r="AF232" s="11">
        <v>180</v>
      </c>
      <c r="AG232" s="11"/>
      <c r="AH232" s="11"/>
      <c r="AI232" s="11"/>
      <c r="AJ232" s="11"/>
      <c r="AK232" s="11"/>
      <c r="AL232" s="11"/>
      <c r="AM232" s="11"/>
      <c r="AN232" s="11">
        <v>20</v>
      </c>
      <c r="AO232" s="11"/>
      <c r="AP232" s="11"/>
      <c r="AQ232" s="11"/>
      <c r="AR232" s="11"/>
      <c r="AS232" s="11">
        <v>200</v>
      </c>
      <c r="AT232" s="11"/>
      <c r="AU232" s="11"/>
      <c r="AV232" s="11"/>
      <c r="AW232" s="20" t="str">
        <f>HYPERLINK("http://www.openstreetmap.org/?mlat=34.0569&amp;mlon=44.8845&amp;zoom=12#map=12/34.0569/44.8845","Maplink1")</f>
        <v>Maplink1</v>
      </c>
      <c r="AX232" s="20" t="str">
        <f>HYPERLINK("https://www.google.iq/maps/search/+34.0569,44.8845/@34.0569,44.8845,14z?hl=en","Maplink2")</f>
        <v>Maplink2</v>
      </c>
      <c r="AY232" s="20" t="str">
        <f>HYPERLINK("http://www.bing.com/maps/?lvl=14&amp;sty=h&amp;cp=34.0569~44.8845&amp;sp=point.34.0569_44.8845","Maplink3")</f>
        <v>Maplink3</v>
      </c>
    </row>
    <row r="233" spans="1:51" x14ac:dyDescent="0.25">
      <c r="A233" s="9">
        <v>11270</v>
      </c>
      <c r="B233" s="10" t="s">
        <v>13</v>
      </c>
      <c r="C233" s="10" t="s">
        <v>211</v>
      </c>
      <c r="D233" s="10" t="s">
        <v>319</v>
      </c>
      <c r="E233" s="10" t="s">
        <v>320</v>
      </c>
      <c r="F233" s="10">
        <v>34.364685406699998</v>
      </c>
      <c r="G233" s="10">
        <v>44.601793208099998</v>
      </c>
      <c r="H233" s="10" t="s">
        <v>213</v>
      </c>
      <c r="I233" s="10" t="s">
        <v>214</v>
      </c>
      <c r="J233" s="10" t="s">
        <v>321</v>
      </c>
      <c r="K233" s="11">
        <v>100</v>
      </c>
      <c r="L233" s="11">
        <v>600</v>
      </c>
      <c r="M233" s="11"/>
      <c r="N233" s="11"/>
      <c r="O233" s="11"/>
      <c r="P233" s="11"/>
      <c r="Q233" s="11"/>
      <c r="R233" s="11"/>
      <c r="S233" s="11"/>
      <c r="T233" s="11"/>
      <c r="U233" s="11">
        <v>100</v>
      </c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>
        <v>100</v>
      </c>
      <c r="AH233" s="11"/>
      <c r="AI233" s="11"/>
      <c r="AJ233" s="11"/>
      <c r="AK233" s="11"/>
      <c r="AL233" s="11"/>
      <c r="AM233" s="11"/>
      <c r="AN233" s="11"/>
      <c r="AO233" s="11"/>
      <c r="AP233" s="11"/>
      <c r="AQ233" s="11">
        <v>100</v>
      </c>
      <c r="AR233" s="11"/>
      <c r="AS233" s="11"/>
      <c r="AT233" s="11"/>
      <c r="AU233" s="11"/>
      <c r="AV233" s="11"/>
      <c r="AW233" s="20" t="str">
        <f>HYPERLINK("http://www.openstreetmap.org/?mlat=34.3647&amp;mlon=44.6018&amp;zoom=12#map=12/34.3647/44.6018","Maplink1")</f>
        <v>Maplink1</v>
      </c>
      <c r="AX233" s="20" t="str">
        <f>HYPERLINK("https://www.google.iq/maps/search/+34.3647,44.6018/@34.3647,44.6018,14z?hl=en","Maplink2")</f>
        <v>Maplink2</v>
      </c>
      <c r="AY233" s="20" t="str">
        <f>HYPERLINK("http://www.bing.com/maps/?lvl=14&amp;sty=h&amp;cp=34.3647~44.6018&amp;sp=point.34.3647_44.6018","Maplink3")</f>
        <v>Maplink3</v>
      </c>
    </row>
    <row r="234" spans="1:51" x14ac:dyDescent="0.25">
      <c r="A234" s="9">
        <v>27180</v>
      </c>
      <c r="B234" s="10" t="s">
        <v>13</v>
      </c>
      <c r="C234" s="10" t="s">
        <v>211</v>
      </c>
      <c r="D234" s="10" t="s">
        <v>322</v>
      </c>
      <c r="E234" s="10" t="s">
        <v>323</v>
      </c>
      <c r="F234" s="10">
        <v>34.211755483399998</v>
      </c>
      <c r="G234" s="10">
        <v>44.486033348399999</v>
      </c>
      <c r="H234" s="10" t="s">
        <v>213</v>
      </c>
      <c r="I234" s="10" t="s">
        <v>214</v>
      </c>
      <c r="J234" s="10"/>
      <c r="K234" s="11">
        <v>120</v>
      </c>
      <c r="L234" s="11">
        <v>720</v>
      </c>
      <c r="M234" s="11"/>
      <c r="N234" s="11"/>
      <c r="O234" s="11"/>
      <c r="P234" s="11"/>
      <c r="Q234" s="11"/>
      <c r="R234" s="11">
        <v>40</v>
      </c>
      <c r="S234" s="11"/>
      <c r="T234" s="11"/>
      <c r="U234" s="11">
        <v>80</v>
      </c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>
        <v>120</v>
      </c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>
        <v>120</v>
      </c>
      <c r="AR234" s="11"/>
      <c r="AS234" s="11"/>
      <c r="AT234" s="11"/>
      <c r="AU234" s="11"/>
      <c r="AV234" s="11"/>
      <c r="AW234" s="20" t="str">
        <f>HYPERLINK("http://www.openstreetmap.org/?mlat=34.2118&amp;mlon=44.486&amp;zoom=12#map=12/34.2118/44.486","Maplink1")</f>
        <v>Maplink1</v>
      </c>
      <c r="AX234" s="20" t="str">
        <f>HYPERLINK("https://www.google.iq/maps/search/+34.2118,44.486/@34.2118,44.486,14z?hl=en","Maplink2")</f>
        <v>Maplink2</v>
      </c>
      <c r="AY234" s="20" t="str">
        <f>HYPERLINK("http://www.bing.com/maps/?lvl=14&amp;sty=h&amp;cp=34.2118~44.486&amp;sp=point.34.2118_44.486","Maplink3")</f>
        <v>Maplink3</v>
      </c>
    </row>
    <row r="235" spans="1:51" x14ac:dyDescent="0.25">
      <c r="A235" s="9">
        <v>26030</v>
      </c>
      <c r="B235" s="10" t="s">
        <v>13</v>
      </c>
      <c r="C235" s="10" t="s">
        <v>324</v>
      </c>
      <c r="D235" s="10" t="s">
        <v>1079</v>
      </c>
      <c r="E235" s="10" t="s">
        <v>334</v>
      </c>
      <c r="F235" s="10">
        <v>34.010599999999997</v>
      </c>
      <c r="G235" s="10">
        <v>44.901499999999999</v>
      </c>
      <c r="H235" s="10" t="s">
        <v>213</v>
      </c>
      <c r="I235" s="10" t="s">
        <v>326</v>
      </c>
      <c r="J235" s="10"/>
      <c r="K235" s="11">
        <v>169</v>
      </c>
      <c r="L235" s="11">
        <v>1014</v>
      </c>
      <c r="M235" s="11"/>
      <c r="N235" s="11"/>
      <c r="O235" s="11"/>
      <c r="P235" s="11"/>
      <c r="Q235" s="11"/>
      <c r="R235" s="11">
        <v>169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>
        <v>39</v>
      </c>
      <c r="AG235" s="11"/>
      <c r="AH235" s="11"/>
      <c r="AI235" s="11"/>
      <c r="AJ235" s="11"/>
      <c r="AK235" s="11"/>
      <c r="AL235" s="11"/>
      <c r="AM235" s="11"/>
      <c r="AN235" s="11">
        <v>130</v>
      </c>
      <c r="AO235" s="11"/>
      <c r="AP235" s="11"/>
      <c r="AQ235" s="11"/>
      <c r="AR235" s="11"/>
      <c r="AS235" s="11">
        <v>169</v>
      </c>
      <c r="AT235" s="11"/>
      <c r="AU235" s="11"/>
      <c r="AV235" s="11"/>
      <c r="AW235" s="20" t="str">
        <f>HYPERLINK("http://www.openstreetmap.org/?mlat=34.0106&amp;mlon=44.9015&amp;zoom=12#map=12/34.0106/44.9015","Maplink1")</f>
        <v>Maplink1</v>
      </c>
      <c r="AX235" s="20" t="str">
        <f>HYPERLINK("https://www.google.iq/maps/search/+34.0106,44.9015/@34.0106,44.9015,14z?hl=en","Maplink2")</f>
        <v>Maplink2</v>
      </c>
      <c r="AY235" s="20" t="str">
        <f>HYPERLINK("http://www.bing.com/maps/?lvl=14&amp;sty=h&amp;cp=34.0106~44.9015&amp;sp=point.34.0106_44.9015","Maplink3")</f>
        <v>Maplink3</v>
      </c>
    </row>
    <row r="236" spans="1:51" x14ac:dyDescent="0.25">
      <c r="A236" s="9">
        <v>11358</v>
      </c>
      <c r="B236" s="10" t="s">
        <v>13</v>
      </c>
      <c r="C236" s="10" t="s">
        <v>324</v>
      </c>
      <c r="D236" s="10" t="s">
        <v>1080</v>
      </c>
      <c r="E236" s="10" t="s">
        <v>325</v>
      </c>
      <c r="F236" s="10">
        <v>33.962299999999999</v>
      </c>
      <c r="G236" s="10">
        <v>44.8125</v>
      </c>
      <c r="H236" s="10" t="s">
        <v>213</v>
      </c>
      <c r="I236" s="10" t="s">
        <v>326</v>
      </c>
      <c r="J236" s="10" t="s">
        <v>327</v>
      </c>
      <c r="K236" s="11">
        <v>125</v>
      </c>
      <c r="L236" s="11">
        <v>750</v>
      </c>
      <c r="M236" s="11"/>
      <c r="N236" s="11"/>
      <c r="O236" s="11"/>
      <c r="P236" s="11"/>
      <c r="Q236" s="11"/>
      <c r="R236" s="11">
        <v>125</v>
      </c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>
        <v>125</v>
      </c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>
        <v>125</v>
      </c>
      <c r="AR236" s="11"/>
      <c r="AS236" s="11"/>
      <c r="AT236" s="11"/>
      <c r="AU236" s="11"/>
      <c r="AV236" s="11"/>
      <c r="AW236" s="20" t="str">
        <f>HYPERLINK("http://www.openstreetmap.org/?mlat=33.9623&amp;mlon=44.8125&amp;zoom=12#map=12/33.9623/44.8125","Maplink1")</f>
        <v>Maplink1</v>
      </c>
      <c r="AX236" s="20" t="str">
        <f>HYPERLINK("https://www.google.iq/maps/search/+33.9623,44.8125/@33.9623,44.8125,14z?hl=en","Maplink2")</f>
        <v>Maplink2</v>
      </c>
      <c r="AY236" s="20" t="str">
        <f>HYPERLINK("http://www.bing.com/maps/?lvl=14&amp;sty=h&amp;cp=33.9623~44.8125&amp;sp=point.33.9623_44.8125","Maplink3")</f>
        <v>Maplink3</v>
      </c>
    </row>
    <row r="237" spans="1:51" x14ac:dyDescent="0.25">
      <c r="A237" s="9">
        <v>25657</v>
      </c>
      <c r="B237" s="10" t="s">
        <v>13</v>
      </c>
      <c r="C237" s="10" t="s">
        <v>324</v>
      </c>
      <c r="D237" s="10" t="s">
        <v>328</v>
      </c>
      <c r="E237" s="10" t="s">
        <v>329</v>
      </c>
      <c r="F237" s="10">
        <v>33.983699999999999</v>
      </c>
      <c r="G237" s="10">
        <v>44.942399999999999</v>
      </c>
      <c r="H237" s="10" t="s">
        <v>213</v>
      </c>
      <c r="I237" s="10" t="s">
        <v>326</v>
      </c>
      <c r="J237" s="10"/>
      <c r="K237" s="11">
        <v>205</v>
      </c>
      <c r="L237" s="11">
        <v>1230</v>
      </c>
      <c r="M237" s="11"/>
      <c r="N237" s="11"/>
      <c r="O237" s="11"/>
      <c r="P237" s="11"/>
      <c r="Q237" s="11"/>
      <c r="R237" s="11">
        <v>205</v>
      </c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>
        <v>105</v>
      </c>
      <c r="AG237" s="11"/>
      <c r="AH237" s="11"/>
      <c r="AI237" s="11"/>
      <c r="AJ237" s="11"/>
      <c r="AK237" s="11"/>
      <c r="AL237" s="11"/>
      <c r="AM237" s="11"/>
      <c r="AN237" s="11">
        <v>100</v>
      </c>
      <c r="AO237" s="11"/>
      <c r="AP237" s="11"/>
      <c r="AQ237" s="11"/>
      <c r="AR237" s="11"/>
      <c r="AS237" s="11">
        <v>205</v>
      </c>
      <c r="AT237" s="11"/>
      <c r="AU237" s="11"/>
      <c r="AV237" s="11"/>
      <c r="AW237" s="20" t="str">
        <f>HYPERLINK("http://www.openstreetmap.org/?mlat=33.9837&amp;mlon=44.9424&amp;zoom=12#map=12/33.9837/44.9424","Maplink1")</f>
        <v>Maplink1</v>
      </c>
      <c r="AX237" s="20" t="str">
        <f>HYPERLINK("https://www.google.iq/maps/search/+33.9837,44.9424/@33.9837,44.9424,14z?hl=en","Maplink2")</f>
        <v>Maplink2</v>
      </c>
      <c r="AY237" s="20" t="str">
        <f>HYPERLINK("http://www.bing.com/maps/?lvl=14&amp;sty=h&amp;cp=33.9837~44.9424&amp;sp=point.33.9837_44.9424","Maplink3")</f>
        <v>Maplink3</v>
      </c>
    </row>
    <row r="238" spans="1:51" x14ac:dyDescent="0.25">
      <c r="A238" s="9">
        <v>25981</v>
      </c>
      <c r="B238" s="10" t="s">
        <v>13</v>
      </c>
      <c r="C238" s="10" t="s">
        <v>324</v>
      </c>
      <c r="D238" s="10" t="s">
        <v>1081</v>
      </c>
      <c r="E238" s="10" t="s">
        <v>330</v>
      </c>
      <c r="F238" s="10">
        <v>34.005000000000003</v>
      </c>
      <c r="G238" s="10">
        <v>44.931100000000001</v>
      </c>
      <c r="H238" s="10" t="s">
        <v>213</v>
      </c>
      <c r="I238" s="10" t="s">
        <v>326</v>
      </c>
      <c r="J238" s="10"/>
      <c r="K238" s="11">
        <v>189</v>
      </c>
      <c r="L238" s="11">
        <v>1134</v>
      </c>
      <c r="M238" s="11"/>
      <c r="N238" s="11"/>
      <c r="O238" s="11"/>
      <c r="P238" s="11"/>
      <c r="Q238" s="11"/>
      <c r="R238" s="11">
        <v>159</v>
      </c>
      <c r="S238" s="11"/>
      <c r="T238" s="11"/>
      <c r="U238" s="11">
        <v>30</v>
      </c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>
        <v>28</v>
      </c>
      <c r="AG238" s="11"/>
      <c r="AH238" s="11"/>
      <c r="AI238" s="11"/>
      <c r="AJ238" s="11"/>
      <c r="AK238" s="11"/>
      <c r="AL238" s="11"/>
      <c r="AM238" s="11"/>
      <c r="AN238" s="11">
        <v>161</v>
      </c>
      <c r="AO238" s="11"/>
      <c r="AP238" s="11"/>
      <c r="AQ238" s="11"/>
      <c r="AR238" s="11"/>
      <c r="AS238" s="11">
        <v>189</v>
      </c>
      <c r="AT238" s="11"/>
      <c r="AU238" s="11"/>
      <c r="AV238" s="11"/>
      <c r="AW238" s="20" t="str">
        <f>HYPERLINK("http://www.openstreetmap.org/?mlat=34.005&amp;mlon=44.9311&amp;zoom=12#map=12/34.005/44.9311","Maplink1")</f>
        <v>Maplink1</v>
      </c>
      <c r="AX238" s="20" t="str">
        <f>HYPERLINK("https://www.google.iq/maps/search/+34.005,44.9311/@34.005,44.9311,14z?hl=en","Maplink2")</f>
        <v>Maplink2</v>
      </c>
      <c r="AY238" s="20" t="str">
        <f>HYPERLINK("http://www.bing.com/maps/?lvl=14&amp;sty=h&amp;cp=34.005~44.9311&amp;sp=point.34.005_44.9311","Maplink3")</f>
        <v>Maplink3</v>
      </c>
    </row>
    <row r="239" spans="1:51" x14ac:dyDescent="0.25">
      <c r="A239" s="9">
        <v>25660</v>
      </c>
      <c r="B239" s="10" t="s">
        <v>13</v>
      </c>
      <c r="C239" s="10" t="s">
        <v>324</v>
      </c>
      <c r="D239" s="10" t="s">
        <v>1082</v>
      </c>
      <c r="E239" s="10" t="s">
        <v>333</v>
      </c>
      <c r="F239" s="10">
        <v>33.953299999999999</v>
      </c>
      <c r="G239" s="10">
        <v>44.941800000000001</v>
      </c>
      <c r="H239" s="10" t="s">
        <v>213</v>
      </c>
      <c r="I239" s="10" t="s">
        <v>326</v>
      </c>
      <c r="J239" s="10"/>
      <c r="K239" s="11">
        <v>93</v>
      </c>
      <c r="L239" s="11">
        <v>558</v>
      </c>
      <c r="M239" s="11">
        <v>55</v>
      </c>
      <c r="N239" s="11"/>
      <c r="O239" s="11"/>
      <c r="P239" s="11"/>
      <c r="Q239" s="11"/>
      <c r="R239" s="11">
        <v>28</v>
      </c>
      <c r="S239" s="11"/>
      <c r="T239" s="11"/>
      <c r="U239" s="11"/>
      <c r="V239" s="11"/>
      <c r="W239" s="11"/>
      <c r="X239" s="11"/>
      <c r="Y239" s="11"/>
      <c r="Z239" s="11"/>
      <c r="AA239" s="11"/>
      <c r="AB239" s="11">
        <v>10</v>
      </c>
      <c r="AC239" s="11"/>
      <c r="AD239" s="11"/>
      <c r="AE239" s="11"/>
      <c r="AF239" s="11">
        <v>55</v>
      </c>
      <c r="AG239" s="11"/>
      <c r="AH239" s="11"/>
      <c r="AI239" s="11"/>
      <c r="AJ239" s="11"/>
      <c r="AK239" s="11"/>
      <c r="AL239" s="11"/>
      <c r="AM239" s="11"/>
      <c r="AN239" s="11">
        <v>38</v>
      </c>
      <c r="AO239" s="11"/>
      <c r="AP239" s="11"/>
      <c r="AQ239" s="11"/>
      <c r="AR239" s="11"/>
      <c r="AS239" s="11">
        <v>93</v>
      </c>
      <c r="AT239" s="11"/>
      <c r="AU239" s="11"/>
      <c r="AV239" s="11"/>
      <c r="AW239" s="20" t="str">
        <f>HYPERLINK("http://www.openstreetmap.org/?mlat=33.9533&amp;mlon=44.9418&amp;zoom=12#map=12/33.9533/44.9418","Maplink1")</f>
        <v>Maplink1</v>
      </c>
      <c r="AX239" s="20" t="str">
        <f>HYPERLINK("https://www.google.iq/maps/search/+33.9533,44.9418/@33.9533,44.9418,14z?hl=en","Maplink2")</f>
        <v>Maplink2</v>
      </c>
      <c r="AY239" s="20" t="str">
        <f>HYPERLINK("http://www.bing.com/maps/?lvl=14&amp;sty=h&amp;cp=33.9533~44.9418&amp;sp=point.33.9533_44.9418","Maplink3")</f>
        <v>Maplink3</v>
      </c>
    </row>
    <row r="240" spans="1:51" x14ac:dyDescent="0.25">
      <c r="A240" s="9">
        <v>25825</v>
      </c>
      <c r="B240" s="10" t="s">
        <v>13</v>
      </c>
      <c r="C240" s="10" t="s">
        <v>324</v>
      </c>
      <c r="D240" s="10" t="s">
        <v>1083</v>
      </c>
      <c r="E240" s="10" t="s">
        <v>335</v>
      </c>
      <c r="F240" s="10">
        <v>33.973500000000001</v>
      </c>
      <c r="G240" s="10">
        <v>44.952199999999998</v>
      </c>
      <c r="H240" s="10" t="s">
        <v>213</v>
      </c>
      <c r="I240" s="10" t="s">
        <v>326</v>
      </c>
      <c r="J240" s="10"/>
      <c r="K240" s="11">
        <v>31</v>
      </c>
      <c r="L240" s="11">
        <v>186</v>
      </c>
      <c r="M240" s="11"/>
      <c r="N240" s="11"/>
      <c r="O240" s="11"/>
      <c r="P240" s="11"/>
      <c r="Q240" s="11"/>
      <c r="R240" s="11">
        <v>31</v>
      </c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>
        <v>31</v>
      </c>
      <c r="AO240" s="11"/>
      <c r="AP240" s="11"/>
      <c r="AQ240" s="11">
        <v>31</v>
      </c>
      <c r="AR240" s="11"/>
      <c r="AS240" s="11"/>
      <c r="AT240" s="11"/>
      <c r="AU240" s="11"/>
      <c r="AV240" s="11"/>
      <c r="AW240" s="20" t="str">
        <f>HYPERLINK("http://www.openstreetmap.org/?mlat=33.9735&amp;mlon=44.9522&amp;zoom=12#map=12/33.9735/44.9522","Maplink1")</f>
        <v>Maplink1</v>
      </c>
      <c r="AX240" s="20" t="str">
        <f>HYPERLINK("https://www.google.iq/maps/search/+33.9735,44.9522/@33.9735,44.9522,14z?hl=en","Maplink2")</f>
        <v>Maplink2</v>
      </c>
      <c r="AY240" s="20" t="str">
        <f>HYPERLINK("http://www.bing.com/maps/?lvl=14&amp;sty=h&amp;cp=33.9735~44.9522&amp;sp=point.33.9735_44.9522","Maplink3")</f>
        <v>Maplink3</v>
      </c>
    </row>
    <row r="241" spans="1:51" x14ac:dyDescent="0.25">
      <c r="A241" s="9">
        <v>11442</v>
      </c>
      <c r="B241" s="10" t="s">
        <v>13</v>
      </c>
      <c r="C241" s="10" t="s">
        <v>324</v>
      </c>
      <c r="D241" s="10" t="s">
        <v>1269</v>
      </c>
      <c r="E241" s="10" t="s">
        <v>1270</v>
      </c>
      <c r="F241" s="10">
        <v>33.972239999999999</v>
      </c>
      <c r="G241" s="10">
        <v>44.935969999999998</v>
      </c>
      <c r="H241" s="10" t="s">
        <v>213</v>
      </c>
      <c r="I241" s="10" t="s">
        <v>326</v>
      </c>
      <c r="J241" s="10" t="s">
        <v>1271</v>
      </c>
      <c r="K241" s="11">
        <v>15</v>
      </c>
      <c r="L241" s="11">
        <v>90</v>
      </c>
      <c r="M241" s="11"/>
      <c r="N241" s="11"/>
      <c r="O241" s="11"/>
      <c r="P241" s="11"/>
      <c r="Q241" s="11"/>
      <c r="R241" s="11"/>
      <c r="S241" s="11"/>
      <c r="T241" s="11"/>
      <c r="U241" s="11">
        <v>15</v>
      </c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>
        <v>15</v>
      </c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>
        <v>15</v>
      </c>
      <c r="AR241" s="11"/>
      <c r="AS241" s="11"/>
      <c r="AT241" s="11"/>
      <c r="AU241" s="11"/>
      <c r="AV241" s="11"/>
      <c r="AW241" s="20" t="str">
        <f>HYPERLINK("http://www.openstreetmap.org/?mlat=33.9722&amp;mlon=44.936&amp;zoom=12#map=12/33.9722/44.936","Maplink1")</f>
        <v>Maplink1</v>
      </c>
      <c r="AX241" s="20" t="str">
        <f>HYPERLINK("https://www.google.iq/maps/search/+33.9722,44.936/@33.9722,44.936,14z?hl=en","Maplink2")</f>
        <v>Maplink2</v>
      </c>
      <c r="AY241" s="20" t="str">
        <f>HYPERLINK("http://www.bing.com/maps/?lvl=14&amp;sty=h&amp;cp=33.9722~44.936&amp;sp=point.33.9722_44.936","Maplink3")</f>
        <v>Maplink3</v>
      </c>
    </row>
    <row r="242" spans="1:51" x14ac:dyDescent="0.25">
      <c r="A242" s="9">
        <v>11329</v>
      </c>
      <c r="B242" s="10" t="s">
        <v>13</v>
      </c>
      <c r="C242" s="10" t="s">
        <v>324</v>
      </c>
      <c r="D242" s="10" t="s">
        <v>1324</v>
      </c>
      <c r="E242" s="10" t="s">
        <v>1325</v>
      </c>
      <c r="F242" s="10">
        <v>33.986170000000001</v>
      </c>
      <c r="G242" s="10">
        <v>44.922809999999998</v>
      </c>
      <c r="H242" s="10" t="s">
        <v>213</v>
      </c>
      <c r="I242" s="10" t="s">
        <v>326</v>
      </c>
      <c r="J242" s="10" t="s">
        <v>1326</v>
      </c>
      <c r="K242" s="11">
        <v>20</v>
      </c>
      <c r="L242" s="11">
        <v>120</v>
      </c>
      <c r="M242" s="11"/>
      <c r="N242" s="11"/>
      <c r="O242" s="11"/>
      <c r="P242" s="11"/>
      <c r="Q242" s="11"/>
      <c r="R242" s="11"/>
      <c r="S242" s="11"/>
      <c r="T242" s="11"/>
      <c r="U242" s="11">
        <v>20</v>
      </c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>
        <v>20</v>
      </c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>
        <v>20</v>
      </c>
      <c r="AR242" s="11"/>
      <c r="AS242" s="11"/>
      <c r="AT242" s="11"/>
      <c r="AU242" s="11"/>
      <c r="AV242" s="11"/>
      <c r="AW242" s="20" t="str">
        <f>HYPERLINK("http://www.openstreetmap.org/?mlat=33.9862&amp;mlon=44.9228&amp;zoom=12#map=12/33.9862/44.9228","Maplink1")</f>
        <v>Maplink1</v>
      </c>
      <c r="AX242" s="20" t="str">
        <f>HYPERLINK("https://www.google.iq/maps/search/+33.9862,44.9228/@33.9862,44.9228,14z?hl=en","Maplink2")</f>
        <v>Maplink2</v>
      </c>
      <c r="AY242" s="20" t="str">
        <f>HYPERLINK("http://www.bing.com/maps/?lvl=14&amp;sty=h&amp;cp=33.9862~44.9228&amp;sp=point.33.9862_44.9228","Maplink3")</f>
        <v>Maplink3</v>
      </c>
    </row>
    <row r="243" spans="1:51" x14ac:dyDescent="0.25">
      <c r="A243" s="9">
        <v>29659</v>
      </c>
      <c r="B243" s="10" t="s">
        <v>13</v>
      </c>
      <c r="C243" s="10" t="s">
        <v>324</v>
      </c>
      <c r="D243" s="10" t="s">
        <v>1327</v>
      </c>
      <c r="E243" s="10" t="s">
        <v>1328</v>
      </c>
      <c r="F243" s="10">
        <v>33.999949999999998</v>
      </c>
      <c r="G243" s="10">
        <v>44.941600000000001</v>
      </c>
      <c r="H243" s="10" t="s">
        <v>213</v>
      </c>
      <c r="I243" s="10" t="s">
        <v>326</v>
      </c>
      <c r="J243" s="10"/>
      <c r="K243" s="11">
        <v>30</v>
      </c>
      <c r="L243" s="11">
        <v>180</v>
      </c>
      <c r="M243" s="11"/>
      <c r="N243" s="11"/>
      <c r="O243" s="11"/>
      <c r="P243" s="11"/>
      <c r="Q243" s="11"/>
      <c r="R243" s="11"/>
      <c r="S243" s="11"/>
      <c r="T243" s="11"/>
      <c r="U243" s="11">
        <v>30</v>
      </c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>
        <v>30</v>
      </c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>
        <v>30</v>
      </c>
      <c r="AR243" s="11"/>
      <c r="AS243" s="11"/>
      <c r="AT243" s="11"/>
      <c r="AU243" s="11"/>
      <c r="AV243" s="11"/>
      <c r="AW243" s="20" t="str">
        <f>HYPERLINK("http://www.openstreetmap.org/?mlat=33.9999&amp;mlon=44.9416&amp;zoom=12#map=12/33.9999/44.9416","Maplink1")</f>
        <v>Maplink1</v>
      </c>
      <c r="AX243" s="20" t="str">
        <f>HYPERLINK("https://www.google.iq/maps/search/+33.9999,44.9416/@33.9999,44.9416,14z?hl=en","Maplink2")</f>
        <v>Maplink2</v>
      </c>
      <c r="AY243" s="20" t="str">
        <f>HYPERLINK("http://www.bing.com/maps/?lvl=14&amp;sty=h&amp;cp=33.9999~44.9416&amp;sp=point.33.9999_44.9416","Maplink3")</f>
        <v>Maplink3</v>
      </c>
    </row>
    <row r="244" spans="1:51" x14ac:dyDescent="0.25">
      <c r="A244" s="9">
        <v>25802</v>
      </c>
      <c r="B244" s="10" t="s">
        <v>13</v>
      </c>
      <c r="C244" s="10" t="s">
        <v>324</v>
      </c>
      <c r="D244" s="10" t="s">
        <v>778</v>
      </c>
      <c r="E244" s="10" t="s">
        <v>354</v>
      </c>
      <c r="F244" s="10">
        <v>33.5809</v>
      </c>
      <c r="G244" s="10">
        <v>44.545200000000001</v>
      </c>
      <c r="H244" s="10" t="s">
        <v>213</v>
      </c>
      <c r="I244" s="10" t="s">
        <v>326</v>
      </c>
      <c r="J244" s="10"/>
      <c r="K244" s="11">
        <v>20</v>
      </c>
      <c r="L244" s="11">
        <v>120</v>
      </c>
      <c r="M244" s="11"/>
      <c r="N244" s="11"/>
      <c r="O244" s="11"/>
      <c r="P244" s="11"/>
      <c r="Q244" s="11"/>
      <c r="R244" s="11">
        <v>20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>
        <v>20</v>
      </c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>
        <v>20</v>
      </c>
      <c r="AR244" s="11"/>
      <c r="AS244" s="11"/>
      <c r="AT244" s="11"/>
      <c r="AU244" s="11"/>
      <c r="AV244" s="11"/>
      <c r="AW244" s="20" t="str">
        <f>HYPERLINK("http://www.openstreetmap.org/?mlat=33.5809&amp;mlon=44.5452&amp;zoom=12#map=12/33.5809/44.5452","Maplink1")</f>
        <v>Maplink1</v>
      </c>
      <c r="AX244" s="20" t="str">
        <f>HYPERLINK("https://www.google.iq/maps/search/+33.5809,44.5452/@33.5809,44.5452,14z?hl=en","Maplink2")</f>
        <v>Maplink2</v>
      </c>
      <c r="AY244" s="20" t="str">
        <f>HYPERLINK("http://www.bing.com/maps/?lvl=14&amp;sty=h&amp;cp=33.5809~44.5452&amp;sp=point.33.5809_44.5452","Maplink3")</f>
        <v>Maplink3</v>
      </c>
    </row>
    <row r="245" spans="1:51" x14ac:dyDescent="0.25">
      <c r="A245" s="9">
        <v>25664</v>
      </c>
      <c r="B245" s="10" t="s">
        <v>13</v>
      </c>
      <c r="C245" s="10" t="s">
        <v>324</v>
      </c>
      <c r="D245" s="10" t="s">
        <v>1084</v>
      </c>
      <c r="E245" s="10" t="s">
        <v>337</v>
      </c>
      <c r="F245" s="10">
        <v>33.980600000000003</v>
      </c>
      <c r="G245" s="10">
        <v>44.925899999999999</v>
      </c>
      <c r="H245" s="10" t="s">
        <v>213</v>
      </c>
      <c r="I245" s="10" t="s">
        <v>326</v>
      </c>
      <c r="J245" s="10"/>
      <c r="K245" s="11">
        <v>209</v>
      </c>
      <c r="L245" s="11">
        <v>1254</v>
      </c>
      <c r="M245" s="11"/>
      <c r="N245" s="11"/>
      <c r="O245" s="11"/>
      <c r="P245" s="11"/>
      <c r="Q245" s="11"/>
      <c r="R245" s="11">
        <v>159</v>
      </c>
      <c r="S245" s="11"/>
      <c r="T245" s="11"/>
      <c r="U245" s="11"/>
      <c r="V245" s="11"/>
      <c r="W245" s="11"/>
      <c r="X245" s="11"/>
      <c r="Y245" s="11"/>
      <c r="Z245" s="11"/>
      <c r="AA245" s="11"/>
      <c r="AB245" s="11">
        <v>50</v>
      </c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>
        <v>209</v>
      </c>
      <c r="AO245" s="11"/>
      <c r="AP245" s="11"/>
      <c r="AQ245" s="11"/>
      <c r="AR245" s="11"/>
      <c r="AS245" s="11">
        <v>209</v>
      </c>
      <c r="AT245" s="11"/>
      <c r="AU245" s="11"/>
      <c r="AV245" s="11"/>
      <c r="AW245" s="20" t="str">
        <f>HYPERLINK("http://www.openstreetmap.org/?mlat=33.9806&amp;mlon=44.9259&amp;zoom=12#map=12/33.9806/44.9259","Maplink1")</f>
        <v>Maplink1</v>
      </c>
      <c r="AX245" s="20" t="str">
        <f>HYPERLINK("https://www.google.iq/maps/search/+33.9806,44.9259/@33.9806,44.9259,14z?hl=en","Maplink2")</f>
        <v>Maplink2</v>
      </c>
      <c r="AY245" s="20" t="str">
        <f>HYPERLINK("http://www.bing.com/maps/?lvl=14&amp;sty=h&amp;cp=33.9806~44.9259&amp;sp=point.33.9806_44.9259","Maplink3")</f>
        <v>Maplink3</v>
      </c>
    </row>
    <row r="246" spans="1:51" x14ac:dyDescent="0.25">
      <c r="A246" s="9">
        <v>25804</v>
      </c>
      <c r="B246" s="10" t="s">
        <v>13</v>
      </c>
      <c r="C246" s="10" t="s">
        <v>324</v>
      </c>
      <c r="D246" s="10" t="s">
        <v>779</v>
      </c>
      <c r="E246" s="10" t="s">
        <v>355</v>
      </c>
      <c r="F246" s="10">
        <v>33.554200000000002</v>
      </c>
      <c r="G246" s="10">
        <v>45.044800000000002</v>
      </c>
      <c r="H246" s="10" t="s">
        <v>213</v>
      </c>
      <c r="I246" s="10" t="s">
        <v>326</v>
      </c>
      <c r="J246" s="10"/>
      <c r="K246" s="11">
        <v>380</v>
      </c>
      <c r="L246" s="11">
        <v>2280</v>
      </c>
      <c r="M246" s="11"/>
      <c r="N246" s="11"/>
      <c r="O246" s="11"/>
      <c r="P246" s="11"/>
      <c r="Q246" s="11"/>
      <c r="R246" s="11">
        <v>380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>
        <v>210</v>
      </c>
      <c r="AG246" s="11"/>
      <c r="AH246" s="11"/>
      <c r="AI246" s="11"/>
      <c r="AJ246" s="11"/>
      <c r="AK246" s="11"/>
      <c r="AL246" s="11">
        <v>95</v>
      </c>
      <c r="AM246" s="11"/>
      <c r="AN246" s="11">
        <v>75</v>
      </c>
      <c r="AO246" s="11"/>
      <c r="AP246" s="11"/>
      <c r="AQ246" s="11">
        <v>380</v>
      </c>
      <c r="AR246" s="11"/>
      <c r="AS246" s="11"/>
      <c r="AT246" s="11"/>
      <c r="AU246" s="11"/>
      <c r="AV246" s="11"/>
      <c r="AW246" s="20" t="str">
        <f>HYPERLINK("http://www.openstreetmap.org/?mlat=33.5542&amp;mlon=45.0448&amp;zoom=12#map=12/33.5542/45.0448","Maplink1")</f>
        <v>Maplink1</v>
      </c>
      <c r="AX246" s="20" t="str">
        <f>HYPERLINK("https://www.google.iq/maps/search/+33.5542,45.0448/@33.5542,45.0448,14z?hl=en","Maplink2")</f>
        <v>Maplink2</v>
      </c>
      <c r="AY246" s="20" t="str">
        <f>HYPERLINK("http://www.bing.com/maps/?lvl=14&amp;sty=h&amp;cp=33.5542~45.0448&amp;sp=point.33.5542_45.0448","Maplink3")</f>
        <v>Maplink3</v>
      </c>
    </row>
    <row r="247" spans="1:51" x14ac:dyDescent="0.25">
      <c r="A247" s="9">
        <v>11414</v>
      </c>
      <c r="B247" s="10" t="s">
        <v>13</v>
      </c>
      <c r="C247" s="10" t="s">
        <v>324</v>
      </c>
      <c r="D247" s="10" t="s">
        <v>1085</v>
      </c>
      <c r="E247" s="10" t="s">
        <v>338</v>
      </c>
      <c r="F247" s="10">
        <v>33.992800000000003</v>
      </c>
      <c r="G247" s="10">
        <v>44.916899999999998</v>
      </c>
      <c r="H247" s="10" t="s">
        <v>213</v>
      </c>
      <c r="I247" s="10" t="s">
        <v>326</v>
      </c>
      <c r="J247" s="10" t="s">
        <v>339</v>
      </c>
      <c r="K247" s="11">
        <v>60</v>
      </c>
      <c r="L247" s="11">
        <v>360</v>
      </c>
      <c r="M247" s="11"/>
      <c r="N247" s="11"/>
      <c r="O247" s="11"/>
      <c r="P247" s="11"/>
      <c r="Q247" s="11"/>
      <c r="R247" s="11">
        <v>40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>
        <v>20</v>
      </c>
      <c r="AC247" s="11"/>
      <c r="AD247" s="11"/>
      <c r="AE247" s="11"/>
      <c r="AF247" s="11">
        <v>30</v>
      </c>
      <c r="AG247" s="11"/>
      <c r="AH247" s="11"/>
      <c r="AI247" s="11"/>
      <c r="AJ247" s="11"/>
      <c r="AK247" s="11"/>
      <c r="AL247" s="11"/>
      <c r="AM247" s="11"/>
      <c r="AN247" s="11">
        <v>30</v>
      </c>
      <c r="AO247" s="11"/>
      <c r="AP247" s="11"/>
      <c r="AQ247" s="11"/>
      <c r="AR247" s="11"/>
      <c r="AS247" s="11">
        <v>60</v>
      </c>
      <c r="AT247" s="11"/>
      <c r="AU247" s="11"/>
      <c r="AV247" s="11"/>
      <c r="AW247" s="20" t="str">
        <f>HYPERLINK("http://www.openstreetmap.org/?mlat=33.9928&amp;mlon=44.9169&amp;zoom=12#map=12/33.9928/44.9169","Maplink1")</f>
        <v>Maplink1</v>
      </c>
      <c r="AX247" s="20" t="str">
        <f>HYPERLINK("https://www.google.iq/maps/search/+33.9928,44.9169/@33.9928,44.9169,14z?hl=en","Maplink2")</f>
        <v>Maplink2</v>
      </c>
      <c r="AY247" s="20" t="str">
        <f>HYPERLINK("http://www.bing.com/maps/?lvl=14&amp;sty=h&amp;cp=33.9928~44.9169&amp;sp=point.33.9928_44.9169","Maplink3")</f>
        <v>Maplink3</v>
      </c>
    </row>
    <row r="248" spans="1:51" x14ac:dyDescent="0.25">
      <c r="A248" s="9">
        <v>25801</v>
      </c>
      <c r="B248" s="10" t="s">
        <v>13</v>
      </c>
      <c r="C248" s="10" t="s">
        <v>324</v>
      </c>
      <c r="D248" s="10" t="s">
        <v>780</v>
      </c>
      <c r="E248" s="10" t="s">
        <v>356</v>
      </c>
      <c r="F248" s="10">
        <v>33.583199999999998</v>
      </c>
      <c r="G248" s="10">
        <v>44.552100000000003</v>
      </c>
      <c r="H248" s="10" t="s">
        <v>213</v>
      </c>
      <c r="I248" s="10" t="s">
        <v>326</v>
      </c>
      <c r="J248" s="10"/>
      <c r="K248" s="11">
        <v>25</v>
      </c>
      <c r="L248" s="11">
        <v>150</v>
      </c>
      <c r="M248" s="11"/>
      <c r="N248" s="11"/>
      <c r="O248" s="11"/>
      <c r="P248" s="11"/>
      <c r="Q248" s="11"/>
      <c r="R248" s="11">
        <v>25</v>
      </c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>
        <v>25</v>
      </c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>
        <v>25</v>
      </c>
      <c r="AR248" s="11"/>
      <c r="AS248" s="11"/>
      <c r="AT248" s="11"/>
      <c r="AU248" s="11"/>
      <c r="AV248" s="11"/>
      <c r="AW248" s="20" t="str">
        <f>HYPERLINK("http://www.openstreetmap.org/?mlat=33.5832&amp;mlon=44.5521&amp;zoom=12#map=12/33.5832/44.5521","Maplink1")</f>
        <v>Maplink1</v>
      </c>
      <c r="AX248" s="20" t="str">
        <f>HYPERLINK("https://www.google.iq/maps/search/+33.5832,44.5521/@33.5832,44.5521,14z?hl=en","Maplink2")</f>
        <v>Maplink2</v>
      </c>
      <c r="AY248" s="20" t="str">
        <f>HYPERLINK("http://www.bing.com/maps/?lvl=14&amp;sty=h&amp;cp=33.5832~44.5521&amp;sp=point.33.5832_44.5521","Maplink3")</f>
        <v>Maplink3</v>
      </c>
    </row>
    <row r="249" spans="1:51" x14ac:dyDescent="0.25">
      <c r="A249" s="9">
        <v>25663</v>
      </c>
      <c r="B249" s="10" t="s">
        <v>13</v>
      </c>
      <c r="C249" s="10" t="s">
        <v>324</v>
      </c>
      <c r="D249" s="10" t="s">
        <v>1086</v>
      </c>
      <c r="E249" s="10" t="s">
        <v>348</v>
      </c>
      <c r="F249" s="10">
        <v>33.966900000000003</v>
      </c>
      <c r="G249" s="10">
        <v>44.941699999999997</v>
      </c>
      <c r="H249" s="10" t="s">
        <v>213</v>
      </c>
      <c r="I249" s="10" t="s">
        <v>326</v>
      </c>
      <c r="J249" s="10"/>
      <c r="K249" s="11">
        <v>80</v>
      </c>
      <c r="L249" s="11">
        <v>480</v>
      </c>
      <c r="M249" s="11"/>
      <c r="N249" s="11"/>
      <c r="O249" s="11"/>
      <c r="P249" s="11"/>
      <c r="Q249" s="11"/>
      <c r="R249" s="11">
        <v>80</v>
      </c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>
        <v>20</v>
      </c>
      <c r="AG249" s="11"/>
      <c r="AH249" s="11"/>
      <c r="AI249" s="11"/>
      <c r="AJ249" s="11"/>
      <c r="AK249" s="11"/>
      <c r="AL249" s="11"/>
      <c r="AM249" s="11"/>
      <c r="AN249" s="11">
        <v>60</v>
      </c>
      <c r="AO249" s="11"/>
      <c r="AP249" s="11"/>
      <c r="AQ249" s="11"/>
      <c r="AR249" s="11"/>
      <c r="AS249" s="11">
        <v>80</v>
      </c>
      <c r="AT249" s="11"/>
      <c r="AU249" s="11"/>
      <c r="AV249" s="11"/>
      <c r="AW249" s="20" t="str">
        <f>HYPERLINK("http://www.openstreetmap.org/?mlat=33.9669&amp;mlon=44.9417&amp;zoom=12#map=12/33.9669/44.9417","Maplink1")</f>
        <v>Maplink1</v>
      </c>
      <c r="AX249" s="20" t="str">
        <f>HYPERLINK("https://www.google.iq/maps/search/+33.9669,44.9417/@33.9669,44.9417,14z?hl=en","Maplink2")</f>
        <v>Maplink2</v>
      </c>
      <c r="AY249" s="20" t="str">
        <f>HYPERLINK("http://www.bing.com/maps/?lvl=14&amp;sty=h&amp;cp=33.9669~44.9417&amp;sp=point.33.9669_44.9417","Maplink3")</f>
        <v>Maplink3</v>
      </c>
    </row>
    <row r="250" spans="1:51" x14ac:dyDescent="0.25">
      <c r="A250" s="9">
        <v>11440</v>
      </c>
      <c r="B250" s="10" t="s">
        <v>13</v>
      </c>
      <c r="C250" s="10" t="s">
        <v>324</v>
      </c>
      <c r="D250" s="10" t="s">
        <v>1039</v>
      </c>
      <c r="E250" s="10" t="s">
        <v>229</v>
      </c>
      <c r="F250" s="10">
        <v>33.909999999999997</v>
      </c>
      <c r="G250" s="10">
        <v>44.98</v>
      </c>
      <c r="H250" s="10" t="s">
        <v>213</v>
      </c>
      <c r="I250" s="10" t="s">
        <v>326</v>
      </c>
      <c r="J250" s="10" t="s">
        <v>340</v>
      </c>
      <c r="K250" s="11">
        <v>379</v>
      </c>
      <c r="L250" s="11">
        <v>2274</v>
      </c>
      <c r="M250" s="11"/>
      <c r="N250" s="11"/>
      <c r="O250" s="11"/>
      <c r="P250" s="11"/>
      <c r="Q250" s="11"/>
      <c r="R250" s="11">
        <v>372</v>
      </c>
      <c r="S250" s="11"/>
      <c r="T250" s="11"/>
      <c r="U250" s="11"/>
      <c r="V250" s="11"/>
      <c r="W250" s="11"/>
      <c r="X250" s="11"/>
      <c r="Y250" s="11"/>
      <c r="Z250" s="11"/>
      <c r="AA250" s="11"/>
      <c r="AB250" s="11">
        <v>7</v>
      </c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>
        <v>379</v>
      </c>
      <c r="AO250" s="11"/>
      <c r="AP250" s="11"/>
      <c r="AQ250" s="11"/>
      <c r="AR250" s="11"/>
      <c r="AS250" s="11">
        <v>379</v>
      </c>
      <c r="AT250" s="11"/>
      <c r="AU250" s="11"/>
      <c r="AV250" s="11"/>
      <c r="AW250" s="20" t="str">
        <f>HYPERLINK("http://www.openstreetmap.org/?mlat=33.91&amp;mlon=44.98&amp;zoom=12#map=12/33.91/44.98","Maplink1")</f>
        <v>Maplink1</v>
      </c>
      <c r="AX250" s="20" t="str">
        <f>HYPERLINK("https://www.google.iq/maps/search/+33.91,44.98/@33.91,44.98,14z?hl=en","Maplink2")</f>
        <v>Maplink2</v>
      </c>
      <c r="AY250" s="20" t="str">
        <f>HYPERLINK("http://www.bing.com/maps/?lvl=14&amp;sty=h&amp;cp=33.91~44.98&amp;sp=point.33.91_44.98","Maplink3")</f>
        <v>Maplink3</v>
      </c>
    </row>
    <row r="251" spans="1:51" x14ac:dyDescent="0.25">
      <c r="A251" s="9">
        <v>11307</v>
      </c>
      <c r="B251" s="10" t="s">
        <v>13</v>
      </c>
      <c r="C251" s="10" t="s">
        <v>324</v>
      </c>
      <c r="D251" s="10" t="s">
        <v>1087</v>
      </c>
      <c r="E251" s="10" t="s">
        <v>341</v>
      </c>
      <c r="F251" s="10">
        <v>33.9938</v>
      </c>
      <c r="G251" s="10">
        <v>44.933599999999998</v>
      </c>
      <c r="H251" s="10" t="s">
        <v>213</v>
      </c>
      <c r="I251" s="10" t="s">
        <v>326</v>
      </c>
      <c r="J251" s="10" t="s">
        <v>342</v>
      </c>
      <c r="K251" s="11">
        <v>276</v>
      </c>
      <c r="L251" s="11">
        <v>1656</v>
      </c>
      <c r="M251" s="11"/>
      <c r="N251" s="11"/>
      <c r="O251" s="11"/>
      <c r="P251" s="11"/>
      <c r="Q251" s="11"/>
      <c r="R251" s="11">
        <v>276</v>
      </c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>
        <v>126</v>
      </c>
      <c r="AG251" s="11"/>
      <c r="AH251" s="11"/>
      <c r="AI251" s="11"/>
      <c r="AJ251" s="11"/>
      <c r="AK251" s="11"/>
      <c r="AL251" s="11"/>
      <c r="AM251" s="11"/>
      <c r="AN251" s="11">
        <v>150</v>
      </c>
      <c r="AO251" s="11"/>
      <c r="AP251" s="11"/>
      <c r="AQ251" s="11"/>
      <c r="AR251" s="11"/>
      <c r="AS251" s="11">
        <v>276</v>
      </c>
      <c r="AT251" s="11"/>
      <c r="AU251" s="11"/>
      <c r="AV251" s="11"/>
      <c r="AW251" s="20" t="str">
        <f>HYPERLINK("http://www.openstreetmap.org/?mlat=33.9938&amp;mlon=44.9336&amp;zoom=12#map=12/33.9938/44.9336","Maplink1")</f>
        <v>Maplink1</v>
      </c>
      <c r="AX251" s="20" t="str">
        <f>HYPERLINK("https://www.google.iq/maps/search/+33.9938,44.9336/@33.9938,44.9336,14z?hl=en","Maplink2")</f>
        <v>Maplink2</v>
      </c>
      <c r="AY251" s="20" t="str">
        <f>HYPERLINK("http://www.bing.com/maps/?lvl=14&amp;sty=h&amp;cp=33.9938~44.9336&amp;sp=point.33.9938_44.9336","Maplink3")</f>
        <v>Maplink3</v>
      </c>
    </row>
    <row r="252" spans="1:51" x14ac:dyDescent="0.25">
      <c r="A252" s="9">
        <v>26027</v>
      </c>
      <c r="B252" s="10" t="s">
        <v>13</v>
      </c>
      <c r="C252" s="10" t="s">
        <v>324</v>
      </c>
      <c r="D252" s="10" t="s">
        <v>1088</v>
      </c>
      <c r="E252" s="10" t="s">
        <v>1089</v>
      </c>
      <c r="F252" s="10">
        <v>33.982199999999999</v>
      </c>
      <c r="G252" s="10">
        <v>44.894500000000001</v>
      </c>
      <c r="H252" s="10" t="s">
        <v>213</v>
      </c>
      <c r="I252" s="10" t="s">
        <v>326</v>
      </c>
      <c r="J252" s="10"/>
      <c r="K252" s="11">
        <v>22</v>
      </c>
      <c r="L252" s="11">
        <v>132</v>
      </c>
      <c r="M252" s="11"/>
      <c r="N252" s="11"/>
      <c r="O252" s="11"/>
      <c r="P252" s="11"/>
      <c r="Q252" s="11"/>
      <c r="R252" s="11">
        <v>22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>
        <v>22</v>
      </c>
      <c r="AO252" s="11"/>
      <c r="AP252" s="11"/>
      <c r="AQ252" s="11"/>
      <c r="AR252" s="11"/>
      <c r="AS252" s="11">
        <v>22</v>
      </c>
      <c r="AT252" s="11"/>
      <c r="AU252" s="11"/>
      <c r="AV252" s="11"/>
      <c r="AW252" s="20" t="str">
        <f>HYPERLINK("http://www.openstreetmap.org/?mlat=33.9822&amp;mlon=44.8945&amp;zoom=12#map=12/33.9822/44.8945","Maplink1")</f>
        <v>Maplink1</v>
      </c>
      <c r="AX252" s="20" t="str">
        <f>HYPERLINK("https://www.google.iq/maps/search/+33.9822,44.8945/@33.9822,44.8945,14z?hl=en","Maplink2")</f>
        <v>Maplink2</v>
      </c>
      <c r="AY252" s="20" t="str">
        <f>HYPERLINK("http://www.bing.com/maps/?lvl=14&amp;sty=h&amp;cp=33.9822~44.8945&amp;sp=point.33.9822_44.8945","Maplink3")</f>
        <v>Maplink3</v>
      </c>
    </row>
    <row r="253" spans="1:51" x14ac:dyDescent="0.25">
      <c r="A253" s="9">
        <v>26114</v>
      </c>
      <c r="B253" s="10" t="s">
        <v>13</v>
      </c>
      <c r="C253" s="10" t="s">
        <v>324</v>
      </c>
      <c r="D253" s="10" t="s">
        <v>1090</v>
      </c>
      <c r="E253" s="10" t="s">
        <v>343</v>
      </c>
      <c r="F253" s="10">
        <v>33.988399999999999</v>
      </c>
      <c r="G253" s="10">
        <v>44.947099999999999</v>
      </c>
      <c r="H253" s="10" t="s">
        <v>213</v>
      </c>
      <c r="I253" s="10" t="s">
        <v>326</v>
      </c>
      <c r="J253" s="10"/>
      <c r="K253" s="11">
        <v>74</v>
      </c>
      <c r="L253" s="11">
        <v>444</v>
      </c>
      <c r="M253" s="11"/>
      <c r="N253" s="11"/>
      <c r="O253" s="11"/>
      <c r="P253" s="11"/>
      <c r="Q253" s="11"/>
      <c r="R253" s="11">
        <v>74</v>
      </c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>
        <v>74</v>
      </c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>
        <v>74</v>
      </c>
      <c r="AT253" s="11"/>
      <c r="AU253" s="11"/>
      <c r="AV253" s="11"/>
      <c r="AW253" s="20" t="str">
        <f>HYPERLINK("http://www.openstreetmap.org/?mlat=33.9884&amp;mlon=44.9471&amp;zoom=12#map=12/33.9884/44.9471","Maplink1")</f>
        <v>Maplink1</v>
      </c>
      <c r="AX253" s="20" t="str">
        <f>HYPERLINK("https://www.google.iq/maps/search/+33.9884,44.9471/@33.9884,44.9471,14z?hl=en","Maplink2")</f>
        <v>Maplink2</v>
      </c>
      <c r="AY253" s="20" t="str">
        <f>HYPERLINK("http://www.bing.com/maps/?lvl=14&amp;sty=h&amp;cp=33.9884~44.9471&amp;sp=point.33.9884_44.9471","Maplink3")</f>
        <v>Maplink3</v>
      </c>
    </row>
    <row r="254" spans="1:51" x14ac:dyDescent="0.25">
      <c r="A254" s="9">
        <v>11312</v>
      </c>
      <c r="B254" s="10" t="s">
        <v>13</v>
      </c>
      <c r="C254" s="10" t="s">
        <v>324</v>
      </c>
      <c r="D254" s="10" t="s">
        <v>1091</v>
      </c>
      <c r="E254" s="10" t="s">
        <v>344</v>
      </c>
      <c r="F254" s="10">
        <v>34.0578</v>
      </c>
      <c r="G254" s="10">
        <v>44.980600000000003</v>
      </c>
      <c r="H254" s="10" t="s">
        <v>213</v>
      </c>
      <c r="I254" s="10" t="s">
        <v>326</v>
      </c>
      <c r="J254" s="10" t="s">
        <v>345</v>
      </c>
      <c r="K254" s="11">
        <v>15</v>
      </c>
      <c r="L254" s="11">
        <v>90</v>
      </c>
      <c r="M254" s="11"/>
      <c r="N254" s="11"/>
      <c r="O254" s="11"/>
      <c r="P254" s="11"/>
      <c r="Q254" s="11"/>
      <c r="R254" s="11">
        <v>15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>
        <v>15</v>
      </c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>
        <v>15</v>
      </c>
      <c r="AT254" s="11"/>
      <c r="AU254" s="11"/>
      <c r="AV254" s="11"/>
      <c r="AW254" s="20" t="str">
        <f>HYPERLINK("http://www.openstreetmap.org/?mlat=34.0578&amp;mlon=44.9806&amp;zoom=12#map=12/34.0578/44.9806","Maplink1")</f>
        <v>Maplink1</v>
      </c>
      <c r="AX254" s="20" t="str">
        <f>HYPERLINK("https://www.google.iq/maps/search/+34.0578,44.9806/@34.0578,44.9806,14z?hl=en","Maplink2")</f>
        <v>Maplink2</v>
      </c>
      <c r="AY254" s="20" t="str">
        <f>HYPERLINK("http://www.bing.com/maps/?lvl=14&amp;sty=h&amp;cp=34.0578~44.9806&amp;sp=point.34.0578_44.9806","Maplink3")</f>
        <v>Maplink3</v>
      </c>
    </row>
    <row r="255" spans="1:51" x14ac:dyDescent="0.25">
      <c r="A255" s="9">
        <v>25805</v>
      </c>
      <c r="B255" s="10" t="s">
        <v>13</v>
      </c>
      <c r="C255" s="10" t="s">
        <v>324</v>
      </c>
      <c r="D255" s="10" t="s">
        <v>1092</v>
      </c>
      <c r="E255" s="10" t="s">
        <v>346</v>
      </c>
      <c r="F255" s="10">
        <v>33.5488</v>
      </c>
      <c r="G255" s="10">
        <v>45.1023</v>
      </c>
      <c r="H255" s="10" t="s">
        <v>213</v>
      </c>
      <c r="I255" s="10" t="s">
        <v>326</v>
      </c>
      <c r="J255" s="10"/>
      <c r="K255" s="11">
        <v>160</v>
      </c>
      <c r="L255" s="11">
        <v>960</v>
      </c>
      <c r="M255" s="11"/>
      <c r="N255" s="11"/>
      <c r="O255" s="11"/>
      <c r="P255" s="11"/>
      <c r="Q255" s="11"/>
      <c r="R255" s="11">
        <v>160</v>
      </c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>
        <v>160</v>
      </c>
      <c r="AO255" s="11"/>
      <c r="AP255" s="11"/>
      <c r="AQ255" s="11">
        <v>160</v>
      </c>
      <c r="AR255" s="11"/>
      <c r="AS255" s="11"/>
      <c r="AT255" s="11"/>
      <c r="AU255" s="11"/>
      <c r="AV255" s="11"/>
      <c r="AW255" s="20" t="str">
        <f>HYPERLINK("http://www.openstreetmap.org/?mlat=33.5488&amp;mlon=45.1023&amp;zoom=12#map=12/33.5488/45.1023","Maplink1")</f>
        <v>Maplink1</v>
      </c>
      <c r="AX255" s="20" t="str">
        <f>HYPERLINK("https://www.google.iq/maps/search/+33.5488,45.1023/@33.5488,45.1023,14z?hl=en","Maplink2")</f>
        <v>Maplink2</v>
      </c>
      <c r="AY255" s="20" t="str">
        <f>HYPERLINK("http://www.bing.com/maps/?lvl=14&amp;sty=h&amp;cp=33.5488~45.1023&amp;sp=point.33.5488_45.1023","Maplink3")</f>
        <v>Maplink3</v>
      </c>
    </row>
    <row r="256" spans="1:51" x14ac:dyDescent="0.25">
      <c r="A256" s="9">
        <v>25803</v>
      </c>
      <c r="B256" s="10" t="s">
        <v>13</v>
      </c>
      <c r="C256" s="10" t="s">
        <v>324</v>
      </c>
      <c r="D256" s="10" t="s">
        <v>781</v>
      </c>
      <c r="E256" s="10" t="s">
        <v>357</v>
      </c>
      <c r="F256" s="10">
        <v>33.585599999999999</v>
      </c>
      <c r="G256" s="10">
        <v>44.565600000000003</v>
      </c>
      <c r="H256" s="10" t="s">
        <v>213</v>
      </c>
      <c r="I256" s="10" t="s">
        <v>326</v>
      </c>
      <c r="J256" s="10"/>
      <c r="K256" s="11">
        <v>23</v>
      </c>
      <c r="L256" s="11">
        <v>138</v>
      </c>
      <c r="M256" s="11"/>
      <c r="N256" s="11"/>
      <c r="O256" s="11"/>
      <c r="P256" s="11"/>
      <c r="Q256" s="11"/>
      <c r="R256" s="11">
        <v>23</v>
      </c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>
        <v>23</v>
      </c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>
        <v>23</v>
      </c>
      <c r="AR256" s="11"/>
      <c r="AS256" s="11"/>
      <c r="AT256" s="11"/>
      <c r="AU256" s="11"/>
      <c r="AV256" s="11"/>
      <c r="AW256" s="20" t="str">
        <f>HYPERLINK("http://www.openstreetmap.org/?mlat=33.5856&amp;mlon=44.5656&amp;zoom=12#map=12/33.5856/44.5656","Maplink1")</f>
        <v>Maplink1</v>
      </c>
      <c r="AX256" s="20" t="str">
        <f>HYPERLINK("https://www.google.iq/maps/search/+33.5856,44.5656/@33.5856,44.5656,14z?hl=en","Maplink2")</f>
        <v>Maplink2</v>
      </c>
      <c r="AY256" s="20" t="str">
        <f>HYPERLINK("http://www.bing.com/maps/?lvl=14&amp;sty=h&amp;cp=33.5856~44.5656&amp;sp=point.33.5856_44.5656","Maplink3")</f>
        <v>Maplink3</v>
      </c>
    </row>
    <row r="257" spans="1:51" x14ac:dyDescent="0.25">
      <c r="A257" s="9">
        <v>25827</v>
      </c>
      <c r="B257" s="10" t="s">
        <v>13</v>
      </c>
      <c r="C257" s="10" t="s">
        <v>324</v>
      </c>
      <c r="D257" s="10" t="s">
        <v>1093</v>
      </c>
      <c r="E257" s="10" t="s">
        <v>1094</v>
      </c>
      <c r="F257" s="10">
        <v>33.964399999999998</v>
      </c>
      <c r="G257" s="10">
        <v>44.918100000000003</v>
      </c>
      <c r="H257" s="10" t="s">
        <v>213</v>
      </c>
      <c r="I257" s="10" t="s">
        <v>326</v>
      </c>
      <c r="J257" s="10"/>
      <c r="K257" s="11">
        <v>95</v>
      </c>
      <c r="L257" s="11">
        <v>570</v>
      </c>
      <c r="M257" s="11"/>
      <c r="N257" s="11"/>
      <c r="O257" s="11"/>
      <c r="P257" s="11"/>
      <c r="Q257" s="11"/>
      <c r="R257" s="11">
        <v>95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>
        <v>55</v>
      </c>
      <c r="AG257" s="11"/>
      <c r="AH257" s="11"/>
      <c r="AI257" s="11"/>
      <c r="AJ257" s="11"/>
      <c r="AK257" s="11"/>
      <c r="AL257" s="11"/>
      <c r="AM257" s="11"/>
      <c r="AN257" s="11">
        <v>40</v>
      </c>
      <c r="AO257" s="11"/>
      <c r="AP257" s="11"/>
      <c r="AQ257" s="11">
        <v>95</v>
      </c>
      <c r="AR257" s="11"/>
      <c r="AS257" s="11"/>
      <c r="AT257" s="11"/>
      <c r="AU257" s="11"/>
      <c r="AV257" s="11"/>
      <c r="AW257" s="20" t="str">
        <f>HYPERLINK("http://www.openstreetmap.org/?mlat=33.9644&amp;mlon=44.9181&amp;zoom=12#map=12/33.9644/44.9181","Maplink1")</f>
        <v>Maplink1</v>
      </c>
      <c r="AX257" s="20" t="str">
        <f>HYPERLINK("https://www.google.iq/maps/search/+33.9644,44.9181/@33.9644,44.9181,14z?hl=en","Maplink2")</f>
        <v>Maplink2</v>
      </c>
      <c r="AY257" s="20" t="str">
        <f>HYPERLINK("http://www.bing.com/maps/?lvl=14&amp;sty=h&amp;cp=33.9644~44.9181&amp;sp=point.33.9644_44.9181","Maplink3")</f>
        <v>Maplink3</v>
      </c>
    </row>
    <row r="258" spans="1:51" x14ac:dyDescent="0.25">
      <c r="A258" s="9">
        <v>25826</v>
      </c>
      <c r="B258" s="10" t="s">
        <v>13</v>
      </c>
      <c r="C258" s="10" t="s">
        <v>324</v>
      </c>
      <c r="D258" s="10" t="s">
        <v>1095</v>
      </c>
      <c r="E258" s="10" t="s">
        <v>358</v>
      </c>
      <c r="F258" s="10">
        <v>33.552199999999999</v>
      </c>
      <c r="G258" s="10">
        <v>45.043300000000002</v>
      </c>
      <c r="H258" s="10" t="s">
        <v>213</v>
      </c>
      <c r="I258" s="10" t="s">
        <v>326</v>
      </c>
      <c r="J258" s="10"/>
      <c r="K258" s="11">
        <v>67</v>
      </c>
      <c r="L258" s="11">
        <v>402</v>
      </c>
      <c r="M258" s="11"/>
      <c r="N258" s="11"/>
      <c r="O258" s="11"/>
      <c r="P258" s="11"/>
      <c r="Q258" s="11"/>
      <c r="R258" s="11">
        <v>67</v>
      </c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>
        <v>67</v>
      </c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>
        <v>67</v>
      </c>
      <c r="AR258" s="11"/>
      <c r="AS258" s="11"/>
      <c r="AT258" s="11"/>
      <c r="AU258" s="11"/>
      <c r="AV258" s="11"/>
      <c r="AW258" s="20" t="str">
        <f>HYPERLINK("http://www.openstreetmap.org/?mlat=33.5522&amp;mlon=45.0433&amp;zoom=12#map=12/33.5522/45.0433","Maplink1")</f>
        <v>Maplink1</v>
      </c>
      <c r="AX258" s="20" t="str">
        <f>HYPERLINK("https://www.google.iq/maps/search/+33.5522,45.0433/@33.5522,45.0433,14z?hl=en","Maplink2")</f>
        <v>Maplink2</v>
      </c>
      <c r="AY258" s="20" t="str">
        <f>HYPERLINK("http://www.bing.com/maps/?lvl=14&amp;sty=h&amp;cp=33.5522~45.0433&amp;sp=point.33.5522_45.0433","Maplink3")</f>
        <v>Maplink3</v>
      </c>
    </row>
    <row r="259" spans="1:51" x14ac:dyDescent="0.25">
      <c r="A259" s="9">
        <v>25668</v>
      </c>
      <c r="B259" s="10" t="s">
        <v>13</v>
      </c>
      <c r="C259" s="10" t="s">
        <v>324</v>
      </c>
      <c r="D259" s="10" t="s">
        <v>1096</v>
      </c>
      <c r="E259" s="10" t="s">
        <v>349</v>
      </c>
      <c r="F259" s="10">
        <v>33.962800000000001</v>
      </c>
      <c r="G259" s="10">
        <v>44.947800000000001</v>
      </c>
      <c r="H259" s="10" t="s">
        <v>213</v>
      </c>
      <c r="I259" s="10" t="s">
        <v>326</v>
      </c>
      <c r="J259" s="10"/>
      <c r="K259" s="11">
        <v>44</v>
      </c>
      <c r="L259" s="11">
        <v>264</v>
      </c>
      <c r="M259" s="11"/>
      <c r="N259" s="11"/>
      <c r="O259" s="11"/>
      <c r="P259" s="11"/>
      <c r="Q259" s="11"/>
      <c r="R259" s="11">
        <v>44</v>
      </c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>
        <v>14</v>
      </c>
      <c r="AG259" s="11"/>
      <c r="AH259" s="11"/>
      <c r="AI259" s="11"/>
      <c r="AJ259" s="11"/>
      <c r="AK259" s="11"/>
      <c r="AL259" s="11"/>
      <c r="AM259" s="11"/>
      <c r="AN259" s="11">
        <v>30</v>
      </c>
      <c r="AO259" s="11"/>
      <c r="AP259" s="11"/>
      <c r="AQ259" s="11"/>
      <c r="AR259" s="11"/>
      <c r="AS259" s="11">
        <v>44</v>
      </c>
      <c r="AT259" s="11"/>
      <c r="AU259" s="11"/>
      <c r="AV259" s="11"/>
      <c r="AW259" s="20" t="str">
        <f>HYPERLINK("http://www.openstreetmap.org/?mlat=33.9628&amp;mlon=44.9478&amp;zoom=12#map=12/33.9628/44.9478","Maplink1")</f>
        <v>Maplink1</v>
      </c>
      <c r="AX259" s="20" t="str">
        <f>HYPERLINK("https://www.google.iq/maps/search/+33.9628,44.9478/@33.9628,44.9478,14z?hl=en","Maplink2")</f>
        <v>Maplink2</v>
      </c>
      <c r="AY259" s="20" t="str">
        <f>HYPERLINK("http://www.bing.com/maps/?lvl=14&amp;sty=h&amp;cp=33.9628~44.9478&amp;sp=point.33.9628_44.9478","Maplink3")</f>
        <v>Maplink3</v>
      </c>
    </row>
    <row r="260" spans="1:51" x14ac:dyDescent="0.25">
      <c r="A260" s="9">
        <v>26028</v>
      </c>
      <c r="B260" s="10" t="s">
        <v>13</v>
      </c>
      <c r="C260" s="10" t="s">
        <v>324</v>
      </c>
      <c r="D260" s="10" t="s">
        <v>331</v>
      </c>
      <c r="E260" s="10" t="s">
        <v>332</v>
      </c>
      <c r="F260" s="10">
        <v>33.987499999999997</v>
      </c>
      <c r="G260" s="10">
        <v>44.8932</v>
      </c>
      <c r="H260" s="10" t="s">
        <v>213</v>
      </c>
      <c r="I260" s="10" t="s">
        <v>326</v>
      </c>
      <c r="J260" s="10"/>
      <c r="K260" s="11">
        <v>123</v>
      </c>
      <c r="L260" s="11">
        <v>738</v>
      </c>
      <c r="M260" s="11"/>
      <c r="N260" s="11"/>
      <c r="O260" s="11"/>
      <c r="P260" s="11"/>
      <c r="Q260" s="11"/>
      <c r="R260" s="11">
        <v>123</v>
      </c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>
        <v>20</v>
      </c>
      <c r="AG260" s="11"/>
      <c r="AH260" s="11"/>
      <c r="AI260" s="11"/>
      <c r="AJ260" s="11"/>
      <c r="AK260" s="11"/>
      <c r="AL260" s="11"/>
      <c r="AM260" s="11"/>
      <c r="AN260" s="11">
        <v>103</v>
      </c>
      <c r="AO260" s="11"/>
      <c r="AP260" s="11"/>
      <c r="AQ260" s="11"/>
      <c r="AR260" s="11"/>
      <c r="AS260" s="11">
        <v>123</v>
      </c>
      <c r="AT260" s="11"/>
      <c r="AU260" s="11"/>
      <c r="AV260" s="11"/>
      <c r="AW260" s="20" t="str">
        <f>HYPERLINK("http://www.openstreetmap.org/?mlat=33.9875&amp;mlon=44.8932&amp;zoom=12#map=12/33.9875/44.8932","Maplink1")</f>
        <v>Maplink1</v>
      </c>
      <c r="AX260" s="20" t="str">
        <f>HYPERLINK("https://www.google.iq/maps/search/+33.9875,44.8932/@33.9875,44.8932,14z?hl=en","Maplink2")</f>
        <v>Maplink2</v>
      </c>
      <c r="AY260" s="20" t="str">
        <f>HYPERLINK("http://www.bing.com/maps/?lvl=14&amp;sty=h&amp;cp=33.9875~44.8932&amp;sp=point.33.9875_44.8932","Maplink3")</f>
        <v>Maplink3</v>
      </c>
    </row>
    <row r="261" spans="1:51" x14ac:dyDescent="0.25">
      <c r="A261" s="9">
        <v>26032</v>
      </c>
      <c r="B261" s="10" t="s">
        <v>13</v>
      </c>
      <c r="C261" s="10" t="s">
        <v>324</v>
      </c>
      <c r="D261" s="10" t="s">
        <v>1097</v>
      </c>
      <c r="E261" s="10" t="s">
        <v>336</v>
      </c>
      <c r="F261" s="10">
        <v>33.986899999999999</v>
      </c>
      <c r="G261" s="10">
        <v>44.895400000000002</v>
      </c>
      <c r="H261" s="10" t="s">
        <v>213</v>
      </c>
      <c r="I261" s="10" t="s">
        <v>326</v>
      </c>
      <c r="J261" s="10"/>
      <c r="K261" s="11">
        <v>54</v>
      </c>
      <c r="L261" s="11">
        <v>324</v>
      </c>
      <c r="M261" s="11"/>
      <c r="N261" s="11"/>
      <c r="O261" s="11"/>
      <c r="P261" s="11"/>
      <c r="Q261" s="11"/>
      <c r="R261" s="11">
        <v>54</v>
      </c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>
        <v>10</v>
      </c>
      <c r="AG261" s="11"/>
      <c r="AH261" s="11"/>
      <c r="AI261" s="11"/>
      <c r="AJ261" s="11"/>
      <c r="AK261" s="11"/>
      <c r="AL261" s="11"/>
      <c r="AM261" s="11"/>
      <c r="AN261" s="11">
        <v>44</v>
      </c>
      <c r="AO261" s="11"/>
      <c r="AP261" s="11"/>
      <c r="AQ261" s="11"/>
      <c r="AR261" s="11"/>
      <c r="AS261" s="11">
        <v>54</v>
      </c>
      <c r="AT261" s="11"/>
      <c r="AU261" s="11"/>
      <c r="AV261" s="11"/>
      <c r="AW261" s="20" t="str">
        <f>HYPERLINK("http://www.openstreetmap.org/?mlat=33.9869&amp;mlon=44.8954&amp;zoom=12#map=12/33.9869/44.8954","Maplink1")</f>
        <v>Maplink1</v>
      </c>
      <c r="AX261" s="20" t="str">
        <f>HYPERLINK("https://www.google.iq/maps/search/+33.9869,44.8954/@33.9869,44.8954,14z?hl=en","Maplink2")</f>
        <v>Maplink2</v>
      </c>
      <c r="AY261" s="20" t="str">
        <f>HYPERLINK("http://www.bing.com/maps/?lvl=14&amp;sty=h&amp;cp=33.9869~44.8954&amp;sp=point.33.9869_44.8954","Maplink3")</f>
        <v>Maplink3</v>
      </c>
    </row>
    <row r="262" spans="1:51" x14ac:dyDescent="0.25">
      <c r="A262" s="9">
        <v>11355</v>
      </c>
      <c r="B262" s="10" t="s">
        <v>13</v>
      </c>
      <c r="C262" s="10" t="s">
        <v>324</v>
      </c>
      <c r="D262" s="10" t="s">
        <v>1098</v>
      </c>
      <c r="E262" s="10" t="s">
        <v>1099</v>
      </c>
      <c r="F262" s="10">
        <v>33.97</v>
      </c>
      <c r="G262" s="10">
        <v>44.91</v>
      </c>
      <c r="H262" s="10" t="s">
        <v>213</v>
      </c>
      <c r="I262" s="10" t="s">
        <v>326</v>
      </c>
      <c r="J262" s="10" t="s">
        <v>347</v>
      </c>
      <c r="K262" s="11">
        <v>251</v>
      </c>
      <c r="L262" s="11">
        <v>1506</v>
      </c>
      <c r="M262" s="11"/>
      <c r="N262" s="11"/>
      <c r="O262" s="11"/>
      <c r="P262" s="11"/>
      <c r="Q262" s="11"/>
      <c r="R262" s="11">
        <v>251</v>
      </c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>
        <v>251</v>
      </c>
      <c r="AO262" s="11"/>
      <c r="AP262" s="11"/>
      <c r="AQ262" s="11"/>
      <c r="AR262" s="11"/>
      <c r="AS262" s="11">
        <v>251</v>
      </c>
      <c r="AT262" s="11"/>
      <c r="AU262" s="11"/>
      <c r="AV262" s="11"/>
      <c r="AW262" s="20" t="str">
        <f>HYPERLINK("http://www.openstreetmap.org/?mlat=33.97&amp;mlon=44.91&amp;zoom=12#map=12/33.97/44.91","Maplink1")</f>
        <v>Maplink1</v>
      </c>
      <c r="AX262" s="20" t="str">
        <f>HYPERLINK("https://www.google.iq/maps/search/+33.97,44.91/@33.97,44.91,14z?hl=en","Maplink2")</f>
        <v>Maplink2</v>
      </c>
      <c r="AY262" s="20" t="str">
        <f>HYPERLINK("http://www.bing.com/maps/?lvl=14&amp;sty=h&amp;cp=33.97~44.91&amp;sp=point.33.97_44.91","Maplink3")</f>
        <v>Maplink3</v>
      </c>
    </row>
    <row r="263" spans="1:51" x14ac:dyDescent="0.25">
      <c r="A263" s="9">
        <v>29660</v>
      </c>
      <c r="B263" s="10" t="s">
        <v>13</v>
      </c>
      <c r="C263" s="10" t="s">
        <v>324</v>
      </c>
      <c r="D263" s="10" t="s">
        <v>1329</v>
      </c>
      <c r="E263" s="10" t="s">
        <v>1330</v>
      </c>
      <c r="F263" s="10">
        <v>34.022950000000002</v>
      </c>
      <c r="G263" s="10">
        <v>44.956989999999998</v>
      </c>
      <c r="H263" s="10" t="s">
        <v>213</v>
      </c>
      <c r="I263" s="10" t="s">
        <v>326</v>
      </c>
      <c r="J263" s="10"/>
      <c r="K263" s="11">
        <v>35</v>
      </c>
      <c r="L263" s="11">
        <v>210</v>
      </c>
      <c r="M263" s="11"/>
      <c r="N263" s="11"/>
      <c r="O263" s="11"/>
      <c r="P263" s="11"/>
      <c r="Q263" s="11"/>
      <c r="R263" s="11"/>
      <c r="S263" s="11"/>
      <c r="T263" s="11"/>
      <c r="U263" s="11">
        <v>35</v>
      </c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>
        <v>35</v>
      </c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>
        <v>35</v>
      </c>
      <c r="AR263" s="11"/>
      <c r="AS263" s="11"/>
      <c r="AT263" s="11"/>
      <c r="AU263" s="11"/>
      <c r="AV263" s="11"/>
      <c r="AW263" s="20" t="str">
        <f>HYPERLINK("http://www.openstreetmap.org/?mlat=34.023&amp;mlon=44.957&amp;zoom=12#map=12/34.023/44.957","Maplink1")</f>
        <v>Maplink1</v>
      </c>
      <c r="AX263" s="20" t="str">
        <f>HYPERLINK("https://www.google.iq/maps/search/+34.023,44.957/@34.023,44.957,14z?hl=en","Maplink2")</f>
        <v>Maplink2</v>
      </c>
      <c r="AY263" s="20" t="str">
        <f>HYPERLINK("http://www.bing.com/maps/?lvl=14&amp;sty=h&amp;cp=34.023~44.957&amp;sp=point.34.023_44.957","Maplink3")</f>
        <v>Maplink3</v>
      </c>
    </row>
    <row r="264" spans="1:51" x14ac:dyDescent="0.25">
      <c r="A264" s="9">
        <v>11179</v>
      </c>
      <c r="B264" s="10" t="s">
        <v>13</v>
      </c>
      <c r="C264" s="10" t="s">
        <v>324</v>
      </c>
      <c r="D264" s="10" t="s">
        <v>1100</v>
      </c>
      <c r="E264" s="10" t="s">
        <v>350</v>
      </c>
      <c r="F264" s="10">
        <v>33.5565</v>
      </c>
      <c r="G264" s="10">
        <v>45.044499999999999</v>
      </c>
      <c r="H264" s="10" t="s">
        <v>213</v>
      </c>
      <c r="I264" s="10" t="s">
        <v>326</v>
      </c>
      <c r="J264" s="10"/>
      <c r="K264" s="11">
        <v>329</v>
      </c>
      <c r="L264" s="11">
        <v>1974</v>
      </c>
      <c r="M264" s="11"/>
      <c r="N264" s="11"/>
      <c r="O264" s="11"/>
      <c r="P264" s="11"/>
      <c r="Q264" s="11"/>
      <c r="R264" s="11">
        <v>329</v>
      </c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>
        <v>329</v>
      </c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>
        <v>329</v>
      </c>
      <c r="AR264" s="11"/>
      <c r="AS264" s="11"/>
      <c r="AT264" s="11"/>
      <c r="AU264" s="11"/>
      <c r="AV264" s="11"/>
      <c r="AW264" s="20" t="str">
        <f>HYPERLINK("http://www.openstreetmap.org/?mlat=33.5565&amp;mlon=45.0445&amp;zoom=12#map=12/33.5565/45.0445","Maplink1")</f>
        <v>Maplink1</v>
      </c>
      <c r="AX264" s="20" t="str">
        <f>HYPERLINK("https://www.google.iq/maps/search/+33.5565,45.0445/@33.5565,45.0445,14z?hl=en","Maplink2")</f>
        <v>Maplink2</v>
      </c>
      <c r="AY264" s="20" t="str">
        <f>HYPERLINK("http://www.bing.com/maps/?lvl=14&amp;sty=h&amp;cp=33.5565~45.0445&amp;sp=point.33.5565_45.0445","Maplink3")</f>
        <v>Maplink3</v>
      </c>
    </row>
    <row r="265" spans="1:51" x14ac:dyDescent="0.25">
      <c r="A265" s="9">
        <v>25674</v>
      </c>
      <c r="B265" s="10" t="s">
        <v>13</v>
      </c>
      <c r="C265" s="10" t="s">
        <v>324</v>
      </c>
      <c r="D265" s="10" t="s">
        <v>351</v>
      </c>
      <c r="E265" s="10" t="s">
        <v>1101</v>
      </c>
      <c r="F265" s="10">
        <v>33.983199999999997</v>
      </c>
      <c r="G265" s="10">
        <v>44.9422</v>
      </c>
      <c r="H265" s="10" t="s">
        <v>213</v>
      </c>
      <c r="I265" s="10" t="s">
        <v>326</v>
      </c>
      <c r="J265" s="10"/>
      <c r="K265" s="11">
        <v>26</v>
      </c>
      <c r="L265" s="11">
        <v>156</v>
      </c>
      <c r="M265" s="11"/>
      <c r="N265" s="11"/>
      <c r="O265" s="11"/>
      <c r="P265" s="11"/>
      <c r="Q265" s="11"/>
      <c r="R265" s="11">
        <v>16</v>
      </c>
      <c r="S265" s="11"/>
      <c r="T265" s="11"/>
      <c r="U265" s="11"/>
      <c r="V265" s="11"/>
      <c r="W265" s="11"/>
      <c r="X265" s="11"/>
      <c r="Y265" s="11"/>
      <c r="Z265" s="11"/>
      <c r="AA265" s="11"/>
      <c r="AB265" s="11">
        <v>10</v>
      </c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>
        <v>26</v>
      </c>
      <c r="AO265" s="11"/>
      <c r="AP265" s="11"/>
      <c r="AQ265" s="11"/>
      <c r="AR265" s="11"/>
      <c r="AS265" s="11">
        <v>26</v>
      </c>
      <c r="AT265" s="11"/>
      <c r="AU265" s="11"/>
      <c r="AV265" s="11"/>
      <c r="AW265" s="20" t="str">
        <f>HYPERLINK("http://www.openstreetmap.org/?mlat=33.9832&amp;mlon=44.9422&amp;zoom=12#map=12/33.9832/44.9422","Maplink1")</f>
        <v>Maplink1</v>
      </c>
      <c r="AX265" s="20" t="str">
        <f>HYPERLINK("https://www.google.iq/maps/search/+33.9832,44.9422/@33.9832,44.9422,14z?hl=en","Maplink2")</f>
        <v>Maplink2</v>
      </c>
      <c r="AY265" s="20" t="str">
        <f>HYPERLINK("http://www.bing.com/maps/?lvl=14&amp;sty=h&amp;cp=33.9832~44.9422&amp;sp=point.33.9832_44.9422","Maplink3")</f>
        <v>Maplink3</v>
      </c>
    </row>
    <row r="266" spans="1:51" x14ac:dyDescent="0.25">
      <c r="A266" s="9">
        <v>25675</v>
      </c>
      <c r="B266" s="10" t="s">
        <v>13</v>
      </c>
      <c r="C266" s="10" t="s">
        <v>324</v>
      </c>
      <c r="D266" s="10" t="s">
        <v>352</v>
      </c>
      <c r="E266" s="10" t="s">
        <v>353</v>
      </c>
      <c r="F266" s="10">
        <v>33.995100000000001</v>
      </c>
      <c r="G266" s="10">
        <v>44.932099999999998</v>
      </c>
      <c r="H266" s="10" t="s">
        <v>213</v>
      </c>
      <c r="I266" s="10" t="s">
        <v>326</v>
      </c>
      <c r="J266" s="10"/>
      <c r="K266" s="11">
        <v>175</v>
      </c>
      <c r="L266" s="11">
        <v>1050</v>
      </c>
      <c r="M266" s="11"/>
      <c r="N266" s="11"/>
      <c r="O266" s="11"/>
      <c r="P266" s="11"/>
      <c r="Q266" s="11"/>
      <c r="R266" s="11">
        <v>149</v>
      </c>
      <c r="S266" s="11"/>
      <c r="T266" s="11"/>
      <c r="U266" s="11"/>
      <c r="V266" s="11"/>
      <c r="W266" s="11"/>
      <c r="X266" s="11"/>
      <c r="Y266" s="11"/>
      <c r="Z266" s="11"/>
      <c r="AA266" s="11"/>
      <c r="AB266" s="11">
        <v>26</v>
      </c>
      <c r="AC266" s="11"/>
      <c r="AD266" s="11"/>
      <c r="AE266" s="11"/>
      <c r="AF266" s="11">
        <v>72</v>
      </c>
      <c r="AG266" s="11"/>
      <c r="AH266" s="11"/>
      <c r="AI266" s="11"/>
      <c r="AJ266" s="11"/>
      <c r="AK266" s="11"/>
      <c r="AL266" s="11"/>
      <c r="AM266" s="11"/>
      <c r="AN266" s="11">
        <v>103</v>
      </c>
      <c r="AO266" s="11"/>
      <c r="AP266" s="11"/>
      <c r="AQ266" s="11"/>
      <c r="AR266" s="11"/>
      <c r="AS266" s="11">
        <v>175</v>
      </c>
      <c r="AT266" s="11"/>
      <c r="AU266" s="11"/>
      <c r="AV266" s="11"/>
      <c r="AW266" s="20" t="str">
        <f>HYPERLINK("http://www.openstreetmap.org/?mlat=33.9951&amp;mlon=44.9321&amp;zoom=12#map=12/33.9951/44.9321","Maplink1")</f>
        <v>Maplink1</v>
      </c>
      <c r="AX266" s="20" t="str">
        <f>HYPERLINK("https://www.google.iq/maps/search/+33.9951,44.9321/@33.9951,44.9321,14z?hl=en","Maplink2")</f>
        <v>Maplink2</v>
      </c>
      <c r="AY266" s="20" t="str">
        <f>HYPERLINK("http://www.bing.com/maps/?lvl=14&amp;sty=h&amp;cp=33.9951~44.9321&amp;sp=point.33.9951_44.9321","Maplink3")</f>
        <v>Maplink3</v>
      </c>
    </row>
    <row r="267" spans="1:51" x14ac:dyDescent="0.25">
      <c r="A267" s="9">
        <v>26026</v>
      </c>
      <c r="B267" s="10" t="s">
        <v>13</v>
      </c>
      <c r="C267" s="10" t="s">
        <v>324</v>
      </c>
      <c r="D267" s="10" t="s">
        <v>1102</v>
      </c>
      <c r="E267" s="10" t="s">
        <v>359</v>
      </c>
      <c r="F267" s="10">
        <v>34.014299999999999</v>
      </c>
      <c r="G267" s="10">
        <v>44.938600000000001</v>
      </c>
      <c r="H267" s="10" t="s">
        <v>213</v>
      </c>
      <c r="I267" s="10" t="s">
        <v>326</v>
      </c>
      <c r="J267" s="10"/>
      <c r="K267" s="11">
        <v>163</v>
      </c>
      <c r="L267" s="11">
        <v>978</v>
      </c>
      <c r="M267" s="11"/>
      <c r="N267" s="11"/>
      <c r="O267" s="11"/>
      <c r="P267" s="11"/>
      <c r="Q267" s="11"/>
      <c r="R267" s="11">
        <v>163</v>
      </c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>
        <v>48</v>
      </c>
      <c r="AG267" s="11"/>
      <c r="AH267" s="11"/>
      <c r="AI267" s="11"/>
      <c r="AJ267" s="11"/>
      <c r="AK267" s="11"/>
      <c r="AL267" s="11"/>
      <c r="AM267" s="11"/>
      <c r="AN267" s="11">
        <v>115</v>
      </c>
      <c r="AO267" s="11"/>
      <c r="AP267" s="11"/>
      <c r="AQ267" s="11"/>
      <c r="AR267" s="11"/>
      <c r="AS267" s="11">
        <v>163</v>
      </c>
      <c r="AT267" s="11"/>
      <c r="AU267" s="11"/>
      <c r="AV267" s="11"/>
      <c r="AW267" s="20" t="str">
        <f>HYPERLINK("http://www.openstreetmap.org/?mlat=34.0143&amp;mlon=44.9386&amp;zoom=12#map=12/34.0143/44.9386","Maplink1")</f>
        <v>Maplink1</v>
      </c>
      <c r="AX267" s="20" t="str">
        <f>HYPERLINK("https://www.google.iq/maps/search/+34.0143,44.9386/@34.0143,44.9386,14z?hl=en","Maplink2")</f>
        <v>Maplink2</v>
      </c>
      <c r="AY267" s="20" t="str">
        <f>HYPERLINK("http://www.bing.com/maps/?lvl=14&amp;sty=h&amp;cp=34.0143~44.9386&amp;sp=point.34.0143_44.9386","Maplink3")</f>
        <v>Maplink3</v>
      </c>
    </row>
    <row r="268" spans="1:51" x14ac:dyDescent="0.25">
      <c r="A268" s="9">
        <v>11327</v>
      </c>
      <c r="B268" s="10" t="s">
        <v>13</v>
      </c>
      <c r="C268" s="10" t="s">
        <v>324</v>
      </c>
      <c r="D268" s="10" t="s">
        <v>1103</v>
      </c>
      <c r="E268" s="10" t="s">
        <v>360</v>
      </c>
      <c r="F268" s="10">
        <v>33.950000000000003</v>
      </c>
      <c r="G268" s="10">
        <v>44.82</v>
      </c>
      <c r="H268" s="10" t="s">
        <v>213</v>
      </c>
      <c r="I268" s="10" t="s">
        <v>326</v>
      </c>
      <c r="J268" s="10" t="s">
        <v>361</v>
      </c>
      <c r="K268" s="11">
        <v>218</v>
      </c>
      <c r="L268" s="11">
        <v>1308</v>
      </c>
      <c r="M268" s="11"/>
      <c r="N268" s="11"/>
      <c r="O268" s="11"/>
      <c r="P268" s="11"/>
      <c r="Q268" s="11"/>
      <c r="R268" s="11">
        <v>128</v>
      </c>
      <c r="S268" s="11"/>
      <c r="T268" s="11"/>
      <c r="U268" s="11"/>
      <c r="V268" s="11"/>
      <c r="W268" s="11"/>
      <c r="X268" s="11"/>
      <c r="Y268" s="11"/>
      <c r="Z268" s="11"/>
      <c r="AA268" s="11"/>
      <c r="AB268" s="11">
        <v>90</v>
      </c>
      <c r="AC268" s="11"/>
      <c r="AD268" s="11"/>
      <c r="AE268" s="11"/>
      <c r="AF268" s="11">
        <v>90</v>
      </c>
      <c r="AG268" s="11"/>
      <c r="AH268" s="11"/>
      <c r="AI268" s="11"/>
      <c r="AJ268" s="11"/>
      <c r="AK268" s="11"/>
      <c r="AL268" s="11"/>
      <c r="AM268" s="11"/>
      <c r="AN268" s="11">
        <v>128</v>
      </c>
      <c r="AO268" s="11"/>
      <c r="AP268" s="11"/>
      <c r="AQ268" s="11"/>
      <c r="AR268" s="11"/>
      <c r="AS268" s="11">
        <v>218</v>
      </c>
      <c r="AT268" s="11"/>
      <c r="AU268" s="11"/>
      <c r="AV268" s="11"/>
      <c r="AW268" s="20" t="str">
        <f>HYPERLINK("http://www.openstreetmap.org/?mlat=33.95&amp;mlon=44.82&amp;zoom=12#map=12/33.95/44.82","Maplink1")</f>
        <v>Maplink1</v>
      </c>
      <c r="AX268" s="20" t="str">
        <f>HYPERLINK("https://www.google.iq/maps/search/+33.95,44.82/@33.95,44.82,14z?hl=en","Maplink2")</f>
        <v>Maplink2</v>
      </c>
      <c r="AY268" s="20" t="str">
        <f>HYPERLINK("http://www.bing.com/maps/?lvl=14&amp;sty=h&amp;cp=33.95~44.82&amp;sp=point.33.95_44.82","Maplink3")</f>
        <v>Maplink3</v>
      </c>
    </row>
    <row r="269" spans="1:51" x14ac:dyDescent="0.25">
      <c r="A269" s="9">
        <v>25982</v>
      </c>
      <c r="B269" s="10" t="s">
        <v>13</v>
      </c>
      <c r="C269" s="10" t="s">
        <v>324</v>
      </c>
      <c r="D269" s="10" t="s">
        <v>362</v>
      </c>
      <c r="E269" s="10" t="s">
        <v>899</v>
      </c>
      <c r="F269" s="10">
        <v>33.993699999999997</v>
      </c>
      <c r="G269" s="10">
        <v>44.9255</v>
      </c>
      <c r="H269" s="10" t="s">
        <v>213</v>
      </c>
      <c r="I269" s="10" t="s">
        <v>326</v>
      </c>
      <c r="J269" s="10"/>
      <c r="K269" s="11">
        <v>211</v>
      </c>
      <c r="L269" s="11">
        <v>1266</v>
      </c>
      <c r="M269" s="11"/>
      <c r="N269" s="11"/>
      <c r="O269" s="11"/>
      <c r="P269" s="11"/>
      <c r="Q269" s="11"/>
      <c r="R269" s="11">
        <v>206</v>
      </c>
      <c r="S269" s="11"/>
      <c r="T269" s="11"/>
      <c r="U269" s="11">
        <v>5</v>
      </c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>
        <v>211</v>
      </c>
      <c r="AO269" s="11"/>
      <c r="AP269" s="11"/>
      <c r="AQ269" s="11"/>
      <c r="AR269" s="11"/>
      <c r="AS269" s="11">
        <v>211</v>
      </c>
      <c r="AT269" s="11"/>
      <c r="AU269" s="11"/>
      <c r="AV269" s="11"/>
      <c r="AW269" s="20" t="str">
        <f>HYPERLINK("http://www.openstreetmap.org/?mlat=33.9937&amp;mlon=44.9255&amp;zoom=12#map=12/33.9937/44.9255","Maplink1")</f>
        <v>Maplink1</v>
      </c>
      <c r="AX269" s="20" t="str">
        <f>HYPERLINK("https://www.google.iq/maps/search/+33.9937,44.9255/@33.9937,44.9255,14z?hl=en","Maplink2")</f>
        <v>Maplink2</v>
      </c>
      <c r="AY269" s="20" t="str">
        <f>HYPERLINK("http://www.bing.com/maps/?lvl=14&amp;sty=h&amp;cp=33.9937~44.9255&amp;sp=point.33.9937_44.9255","Maplink3")</f>
        <v>Maplink3</v>
      </c>
    </row>
    <row r="270" spans="1:51" x14ac:dyDescent="0.25">
      <c r="A270" s="9">
        <v>26073</v>
      </c>
      <c r="B270" s="10" t="s">
        <v>13</v>
      </c>
      <c r="C270" s="10" t="s">
        <v>324</v>
      </c>
      <c r="D270" s="10" t="s">
        <v>363</v>
      </c>
      <c r="E270" s="10" t="s">
        <v>364</v>
      </c>
      <c r="F270" s="10">
        <v>33.992800000000003</v>
      </c>
      <c r="G270" s="10">
        <v>44.895499999999998</v>
      </c>
      <c r="H270" s="10" t="s">
        <v>213</v>
      </c>
      <c r="I270" s="10" t="s">
        <v>326</v>
      </c>
      <c r="J270" s="10"/>
      <c r="K270" s="11">
        <v>25</v>
      </c>
      <c r="L270" s="11">
        <v>150</v>
      </c>
      <c r="M270" s="11"/>
      <c r="N270" s="11"/>
      <c r="O270" s="11"/>
      <c r="P270" s="11"/>
      <c r="Q270" s="11"/>
      <c r="R270" s="11">
        <v>25</v>
      </c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>
        <v>25</v>
      </c>
      <c r="AO270" s="11"/>
      <c r="AP270" s="11"/>
      <c r="AQ270" s="11"/>
      <c r="AR270" s="11"/>
      <c r="AS270" s="11">
        <v>25</v>
      </c>
      <c r="AT270" s="11"/>
      <c r="AU270" s="11"/>
      <c r="AV270" s="11"/>
      <c r="AW270" s="20" t="str">
        <f>HYPERLINK("http://www.openstreetmap.org/?mlat=33.9928&amp;mlon=44.8955&amp;zoom=12#map=12/33.9928/44.8955","Maplink1")</f>
        <v>Maplink1</v>
      </c>
      <c r="AX270" s="20" t="str">
        <f>HYPERLINK("https://www.google.iq/maps/search/+33.9928,44.8955/@33.9928,44.8955,14z?hl=en","Maplink2")</f>
        <v>Maplink2</v>
      </c>
      <c r="AY270" s="20" t="str">
        <f>HYPERLINK("http://www.bing.com/maps/?lvl=14&amp;sty=h&amp;cp=33.9928~44.8955&amp;sp=point.33.9928_44.8955","Maplink3")</f>
        <v>Maplink3</v>
      </c>
    </row>
    <row r="271" spans="1:51" x14ac:dyDescent="0.25">
      <c r="A271" s="9">
        <v>21308</v>
      </c>
      <c r="B271" s="10" t="s">
        <v>13</v>
      </c>
      <c r="C271" s="10" t="s">
        <v>324</v>
      </c>
      <c r="D271" s="10" t="s">
        <v>782</v>
      </c>
      <c r="E271" s="10" t="s">
        <v>365</v>
      </c>
      <c r="F271" s="10">
        <v>33.9878</v>
      </c>
      <c r="G271" s="10">
        <v>44.946599999999997</v>
      </c>
      <c r="H271" s="10" t="s">
        <v>213</v>
      </c>
      <c r="I271" s="10" t="s">
        <v>326</v>
      </c>
      <c r="J271" s="10" t="s">
        <v>366</v>
      </c>
      <c r="K271" s="11">
        <v>24</v>
      </c>
      <c r="L271" s="11">
        <v>144</v>
      </c>
      <c r="M271" s="11"/>
      <c r="N271" s="11"/>
      <c r="O271" s="11"/>
      <c r="P271" s="11"/>
      <c r="Q271" s="11"/>
      <c r="R271" s="11">
        <v>24</v>
      </c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>
        <v>24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>
        <v>24</v>
      </c>
      <c r="AR271" s="11"/>
      <c r="AS271" s="11"/>
      <c r="AT271" s="11"/>
      <c r="AU271" s="11"/>
      <c r="AV271" s="11"/>
      <c r="AW271" s="20" t="str">
        <f>HYPERLINK("http://www.openstreetmap.org/?mlat=33.9878&amp;mlon=44.9466&amp;zoom=12#map=12/33.9878/44.9466","Maplink1")</f>
        <v>Maplink1</v>
      </c>
      <c r="AX271" s="20" t="str">
        <f>HYPERLINK("https://www.google.iq/maps/search/+33.9878,44.9466/@33.9878,44.9466,14z?hl=en","Maplink2")</f>
        <v>Maplink2</v>
      </c>
      <c r="AY271" s="20" t="str">
        <f>HYPERLINK("http://www.bing.com/maps/?lvl=14&amp;sty=h&amp;cp=33.9878~44.9466&amp;sp=point.33.9878_44.9466","Maplink3")</f>
        <v>Maplink3</v>
      </c>
    </row>
    <row r="272" spans="1:51" x14ac:dyDescent="0.25">
      <c r="A272" s="9">
        <v>25685</v>
      </c>
      <c r="B272" s="10" t="s">
        <v>13</v>
      </c>
      <c r="C272" s="10" t="s">
        <v>324</v>
      </c>
      <c r="D272" s="10" t="s">
        <v>1104</v>
      </c>
      <c r="E272" s="10" t="s">
        <v>367</v>
      </c>
      <c r="F272" s="10">
        <v>33.961599999999997</v>
      </c>
      <c r="G272" s="10">
        <v>44.918399999999998</v>
      </c>
      <c r="H272" s="10" t="s">
        <v>213</v>
      </c>
      <c r="I272" s="10" t="s">
        <v>326</v>
      </c>
      <c r="J272" s="10"/>
      <c r="K272" s="11">
        <v>177</v>
      </c>
      <c r="L272" s="11">
        <v>1062</v>
      </c>
      <c r="M272" s="11"/>
      <c r="N272" s="11"/>
      <c r="O272" s="11"/>
      <c r="P272" s="11"/>
      <c r="Q272" s="11"/>
      <c r="R272" s="11">
        <v>177</v>
      </c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>
        <v>107</v>
      </c>
      <c r="AG272" s="11"/>
      <c r="AH272" s="11"/>
      <c r="AI272" s="11"/>
      <c r="AJ272" s="11"/>
      <c r="AK272" s="11"/>
      <c r="AL272" s="11"/>
      <c r="AM272" s="11"/>
      <c r="AN272" s="11">
        <v>70</v>
      </c>
      <c r="AO272" s="11"/>
      <c r="AP272" s="11"/>
      <c r="AQ272" s="11"/>
      <c r="AR272" s="11"/>
      <c r="AS272" s="11">
        <v>177</v>
      </c>
      <c r="AT272" s="11"/>
      <c r="AU272" s="11"/>
      <c r="AV272" s="11"/>
      <c r="AW272" s="20" t="str">
        <f>HYPERLINK("http://www.openstreetmap.org/?mlat=33.9616&amp;mlon=44.9184&amp;zoom=12#map=12/33.9616/44.9184","Maplink1")</f>
        <v>Maplink1</v>
      </c>
      <c r="AX272" s="20" t="str">
        <f>HYPERLINK("https://www.google.iq/maps/search/+33.9616,44.9184/@33.9616,44.9184,14z?hl=en","Maplink2")</f>
        <v>Maplink2</v>
      </c>
      <c r="AY272" s="20" t="str">
        <f>HYPERLINK("http://www.bing.com/maps/?lvl=14&amp;sty=h&amp;cp=33.9616~44.9184&amp;sp=point.33.9616_44.9184","Maplink3")</f>
        <v>Maplink3</v>
      </c>
    </row>
    <row r="273" spans="1:51" x14ac:dyDescent="0.25">
      <c r="A273" s="9">
        <v>25948</v>
      </c>
      <c r="B273" s="10" t="s">
        <v>13</v>
      </c>
      <c r="C273" s="10" t="s">
        <v>324</v>
      </c>
      <c r="D273" s="10" t="s">
        <v>368</v>
      </c>
      <c r="E273" s="10" t="s">
        <v>369</v>
      </c>
      <c r="F273" s="10">
        <v>34.021099999999997</v>
      </c>
      <c r="G273" s="10">
        <v>44.925199999999997</v>
      </c>
      <c r="H273" s="10" t="s">
        <v>213</v>
      </c>
      <c r="I273" s="10" t="s">
        <v>326</v>
      </c>
      <c r="J273" s="10"/>
      <c r="K273" s="11">
        <v>322</v>
      </c>
      <c r="L273" s="11">
        <v>1932</v>
      </c>
      <c r="M273" s="11"/>
      <c r="N273" s="11"/>
      <c r="O273" s="11"/>
      <c r="P273" s="11"/>
      <c r="Q273" s="11"/>
      <c r="R273" s="11">
        <v>322</v>
      </c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>
        <v>176</v>
      </c>
      <c r="AG273" s="11"/>
      <c r="AH273" s="11"/>
      <c r="AI273" s="11"/>
      <c r="AJ273" s="11"/>
      <c r="AK273" s="11"/>
      <c r="AL273" s="11"/>
      <c r="AM273" s="11"/>
      <c r="AN273" s="11">
        <v>146</v>
      </c>
      <c r="AO273" s="11"/>
      <c r="AP273" s="11"/>
      <c r="AQ273" s="11"/>
      <c r="AR273" s="11"/>
      <c r="AS273" s="11">
        <v>322</v>
      </c>
      <c r="AT273" s="11"/>
      <c r="AU273" s="11"/>
      <c r="AV273" s="11"/>
      <c r="AW273" s="20" t="str">
        <f>HYPERLINK("http://www.openstreetmap.org/?mlat=34.0211&amp;mlon=44.9252&amp;zoom=12#map=12/34.0211/44.9252","Maplink1")</f>
        <v>Maplink1</v>
      </c>
      <c r="AX273" s="20" t="str">
        <f>HYPERLINK("https://www.google.iq/maps/search/+34.0211,44.9252/@34.0211,44.9252,14z?hl=en","Maplink2")</f>
        <v>Maplink2</v>
      </c>
      <c r="AY273" s="20" t="str">
        <f>HYPERLINK("http://www.bing.com/maps/?lvl=14&amp;sty=h&amp;cp=34.0211~44.9252&amp;sp=point.34.0211_44.9252","Maplink3")</f>
        <v>Maplink3</v>
      </c>
    </row>
    <row r="274" spans="1:51" x14ac:dyDescent="0.25">
      <c r="A274" s="9">
        <v>26029</v>
      </c>
      <c r="B274" s="10" t="s">
        <v>13</v>
      </c>
      <c r="C274" s="10" t="s">
        <v>324</v>
      </c>
      <c r="D274" s="10" t="s">
        <v>370</v>
      </c>
      <c r="E274" s="10" t="s">
        <v>371</v>
      </c>
      <c r="F274" s="10">
        <v>33.990699999999997</v>
      </c>
      <c r="G274" s="10">
        <v>44.866599999999998</v>
      </c>
      <c r="H274" s="10" t="s">
        <v>213</v>
      </c>
      <c r="I274" s="10" t="s">
        <v>326</v>
      </c>
      <c r="J274" s="10"/>
      <c r="K274" s="11">
        <v>380</v>
      </c>
      <c r="L274" s="11">
        <v>2280</v>
      </c>
      <c r="M274" s="11"/>
      <c r="N274" s="11"/>
      <c r="O274" s="11"/>
      <c r="P274" s="11"/>
      <c r="Q274" s="11"/>
      <c r="R274" s="11">
        <v>380</v>
      </c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>
        <v>200</v>
      </c>
      <c r="AG274" s="11"/>
      <c r="AH274" s="11"/>
      <c r="AI274" s="11"/>
      <c r="AJ274" s="11"/>
      <c r="AK274" s="11"/>
      <c r="AL274" s="11"/>
      <c r="AM274" s="11"/>
      <c r="AN274" s="11">
        <v>180</v>
      </c>
      <c r="AO274" s="11"/>
      <c r="AP274" s="11"/>
      <c r="AQ274" s="11"/>
      <c r="AR274" s="11"/>
      <c r="AS274" s="11">
        <v>380</v>
      </c>
      <c r="AT274" s="11"/>
      <c r="AU274" s="11"/>
      <c r="AV274" s="11"/>
      <c r="AW274" s="20" t="str">
        <f>HYPERLINK("http://www.openstreetmap.org/?mlat=33.9907&amp;mlon=44.8666&amp;zoom=12#map=12/33.9907/44.8666","Maplink1")</f>
        <v>Maplink1</v>
      </c>
      <c r="AX274" s="20" t="str">
        <f>HYPERLINK("https://www.google.iq/maps/search/+33.9907,44.8666/@33.9907,44.8666,14z?hl=en","Maplink2")</f>
        <v>Maplink2</v>
      </c>
      <c r="AY274" s="20" t="str">
        <f>HYPERLINK("http://www.bing.com/maps/?lvl=14&amp;sty=h&amp;cp=33.9907~44.8666&amp;sp=point.33.9907_44.8666","Maplink3")</f>
        <v>Maplink3</v>
      </c>
    </row>
    <row r="275" spans="1:51" x14ac:dyDescent="0.25">
      <c r="A275" s="9">
        <v>26115</v>
      </c>
      <c r="B275" s="10" t="s">
        <v>13</v>
      </c>
      <c r="C275" s="10" t="s">
        <v>324</v>
      </c>
      <c r="D275" s="10" t="s">
        <v>1105</v>
      </c>
      <c r="E275" s="10" t="s">
        <v>372</v>
      </c>
      <c r="F275" s="10">
        <v>33.995899999999999</v>
      </c>
      <c r="G275" s="10">
        <v>44.917700000000004</v>
      </c>
      <c r="H275" s="10" t="s">
        <v>213</v>
      </c>
      <c r="I275" s="10" t="s">
        <v>326</v>
      </c>
      <c r="J275" s="10"/>
      <c r="K275" s="11">
        <v>554</v>
      </c>
      <c r="L275" s="11">
        <v>3324</v>
      </c>
      <c r="M275" s="11"/>
      <c r="N275" s="11"/>
      <c r="O275" s="11"/>
      <c r="P275" s="11"/>
      <c r="Q275" s="11"/>
      <c r="R275" s="11">
        <v>489</v>
      </c>
      <c r="S275" s="11"/>
      <c r="T275" s="11"/>
      <c r="U275" s="11">
        <v>50</v>
      </c>
      <c r="V275" s="11"/>
      <c r="W275" s="11"/>
      <c r="X275" s="11"/>
      <c r="Y275" s="11"/>
      <c r="Z275" s="11"/>
      <c r="AA275" s="11"/>
      <c r="AB275" s="11">
        <v>15</v>
      </c>
      <c r="AC275" s="11"/>
      <c r="AD275" s="11"/>
      <c r="AE275" s="11"/>
      <c r="AF275" s="11">
        <v>440</v>
      </c>
      <c r="AG275" s="11"/>
      <c r="AH275" s="11"/>
      <c r="AI275" s="11"/>
      <c r="AJ275" s="11"/>
      <c r="AK275" s="11"/>
      <c r="AL275" s="11"/>
      <c r="AM275" s="11"/>
      <c r="AN275" s="11">
        <v>114</v>
      </c>
      <c r="AO275" s="11"/>
      <c r="AP275" s="11"/>
      <c r="AQ275" s="11"/>
      <c r="AR275" s="11"/>
      <c r="AS275" s="11">
        <v>554</v>
      </c>
      <c r="AT275" s="11"/>
      <c r="AU275" s="11"/>
      <c r="AV275" s="11"/>
      <c r="AW275" s="20" t="str">
        <f>HYPERLINK("http://www.openstreetmap.org/?mlat=33.9959&amp;mlon=44.9177&amp;zoom=12#map=12/33.9959/44.9177","Maplink1")</f>
        <v>Maplink1</v>
      </c>
      <c r="AX275" s="20" t="str">
        <f>HYPERLINK("https://www.google.iq/maps/search/+33.9959,44.9177/@33.9959,44.9177,14z?hl=en","Maplink2")</f>
        <v>Maplink2</v>
      </c>
      <c r="AY275" s="20" t="str">
        <f>HYPERLINK("http://www.bing.com/maps/?lvl=14&amp;sty=h&amp;cp=33.9959~44.9177&amp;sp=point.33.9959_44.9177","Maplink3")</f>
        <v>Maplink3</v>
      </c>
    </row>
    <row r="276" spans="1:51" x14ac:dyDescent="0.25">
      <c r="A276" s="9">
        <v>26031</v>
      </c>
      <c r="B276" s="10" t="s">
        <v>13</v>
      </c>
      <c r="C276" s="10" t="s">
        <v>324</v>
      </c>
      <c r="D276" s="10" t="s">
        <v>373</v>
      </c>
      <c r="E276" s="10" t="s">
        <v>374</v>
      </c>
      <c r="F276" s="10">
        <v>34.035400000000003</v>
      </c>
      <c r="G276" s="10">
        <v>44.927900000000001</v>
      </c>
      <c r="H276" s="10" t="s">
        <v>213</v>
      </c>
      <c r="I276" s="10" t="s">
        <v>326</v>
      </c>
      <c r="J276" s="10"/>
      <c r="K276" s="11">
        <v>35</v>
      </c>
      <c r="L276" s="11">
        <v>210</v>
      </c>
      <c r="M276" s="11"/>
      <c r="N276" s="11"/>
      <c r="O276" s="11"/>
      <c r="P276" s="11"/>
      <c r="Q276" s="11"/>
      <c r="R276" s="11">
        <v>35</v>
      </c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>
        <v>35</v>
      </c>
      <c r="AO276" s="11"/>
      <c r="AP276" s="11"/>
      <c r="AQ276" s="11"/>
      <c r="AR276" s="11"/>
      <c r="AS276" s="11">
        <v>35</v>
      </c>
      <c r="AT276" s="11"/>
      <c r="AU276" s="11"/>
      <c r="AV276" s="11"/>
      <c r="AW276" s="20" t="str">
        <f>HYPERLINK("http://www.openstreetmap.org/?mlat=34.0354&amp;mlon=44.9279&amp;zoom=12#map=12/34.0354/44.9279","Maplink1")</f>
        <v>Maplink1</v>
      </c>
      <c r="AX276" s="20" t="str">
        <f>HYPERLINK("https://www.google.iq/maps/search/+34.0354,44.9279/@34.0354,44.9279,14z?hl=en","Maplink2")</f>
        <v>Maplink2</v>
      </c>
      <c r="AY276" s="20" t="str">
        <f>HYPERLINK("http://www.bing.com/maps/?lvl=14&amp;sty=h&amp;cp=34.0354~44.9279&amp;sp=point.34.0354_44.9279","Maplink3")</f>
        <v>Maplink3</v>
      </c>
    </row>
    <row r="277" spans="1:51" x14ac:dyDescent="0.25">
      <c r="A277" s="9">
        <v>11287</v>
      </c>
      <c r="B277" s="10" t="s">
        <v>13</v>
      </c>
      <c r="C277" s="10" t="s">
        <v>324</v>
      </c>
      <c r="D277" s="10" t="s">
        <v>783</v>
      </c>
      <c r="E277" s="10" t="s">
        <v>375</v>
      </c>
      <c r="F277" s="10">
        <v>33.97</v>
      </c>
      <c r="G277" s="10">
        <v>44.93</v>
      </c>
      <c r="H277" s="10" t="s">
        <v>213</v>
      </c>
      <c r="I277" s="10" t="s">
        <v>326</v>
      </c>
      <c r="J277" s="10" t="s">
        <v>376</v>
      </c>
      <c r="K277" s="11">
        <v>319</v>
      </c>
      <c r="L277" s="11">
        <v>1914</v>
      </c>
      <c r="M277" s="11"/>
      <c r="N277" s="11"/>
      <c r="O277" s="11"/>
      <c r="P277" s="11"/>
      <c r="Q277" s="11"/>
      <c r="R277" s="11">
        <v>219</v>
      </c>
      <c r="S277" s="11"/>
      <c r="T277" s="11"/>
      <c r="U277" s="11"/>
      <c r="V277" s="11"/>
      <c r="W277" s="11"/>
      <c r="X277" s="11"/>
      <c r="Y277" s="11"/>
      <c r="Z277" s="11"/>
      <c r="AA277" s="11"/>
      <c r="AB277" s="11">
        <v>100</v>
      </c>
      <c r="AC277" s="11"/>
      <c r="AD277" s="11"/>
      <c r="AE277" s="11"/>
      <c r="AF277" s="11">
        <v>64</v>
      </c>
      <c r="AG277" s="11"/>
      <c r="AH277" s="11"/>
      <c r="AI277" s="11"/>
      <c r="AJ277" s="11"/>
      <c r="AK277" s="11"/>
      <c r="AL277" s="11"/>
      <c r="AM277" s="11"/>
      <c r="AN277" s="11">
        <v>255</v>
      </c>
      <c r="AO277" s="11"/>
      <c r="AP277" s="11"/>
      <c r="AQ277" s="11"/>
      <c r="AR277" s="11"/>
      <c r="AS277" s="11">
        <v>319</v>
      </c>
      <c r="AT277" s="11"/>
      <c r="AU277" s="11"/>
      <c r="AV277" s="11"/>
      <c r="AW277" s="20" t="str">
        <f>HYPERLINK("http://www.openstreetmap.org/?mlat=33.97&amp;mlon=44.93&amp;zoom=12#map=12/33.97/44.93","Maplink1")</f>
        <v>Maplink1</v>
      </c>
      <c r="AX277" s="20" t="str">
        <f>HYPERLINK("https://www.google.iq/maps/search/+33.97,44.93/@33.97,44.93,14z?hl=en","Maplink2")</f>
        <v>Maplink2</v>
      </c>
      <c r="AY277" s="20" t="str">
        <f>HYPERLINK("http://www.bing.com/maps/?lvl=14&amp;sty=h&amp;cp=33.97~44.93&amp;sp=point.33.97_44.93","Maplink3")</f>
        <v>Maplink3</v>
      </c>
    </row>
    <row r="278" spans="1:51" x14ac:dyDescent="0.25">
      <c r="A278" s="9">
        <v>23131</v>
      </c>
      <c r="B278" s="10" t="s">
        <v>13</v>
      </c>
      <c r="C278" s="10" t="s">
        <v>324</v>
      </c>
      <c r="D278" s="10" t="s">
        <v>1106</v>
      </c>
      <c r="E278" s="10" t="s">
        <v>377</v>
      </c>
      <c r="F278" s="10">
        <v>34.021799999999999</v>
      </c>
      <c r="G278" s="10">
        <v>44.933500000000002</v>
      </c>
      <c r="H278" s="10" t="s">
        <v>213</v>
      </c>
      <c r="I278" s="10" t="s">
        <v>326</v>
      </c>
      <c r="J278" s="10"/>
      <c r="K278" s="11">
        <v>49</v>
      </c>
      <c r="L278" s="11">
        <v>294</v>
      </c>
      <c r="M278" s="11"/>
      <c r="N278" s="11"/>
      <c r="O278" s="11"/>
      <c r="P278" s="11"/>
      <c r="Q278" s="11"/>
      <c r="R278" s="11">
        <v>49</v>
      </c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>
        <v>49</v>
      </c>
      <c r="AO278" s="11"/>
      <c r="AP278" s="11"/>
      <c r="AQ278" s="11"/>
      <c r="AR278" s="11"/>
      <c r="AS278" s="11">
        <v>49</v>
      </c>
      <c r="AT278" s="11"/>
      <c r="AU278" s="11"/>
      <c r="AV278" s="11"/>
      <c r="AW278" s="20" t="str">
        <f>HYPERLINK("http://www.openstreetmap.org/?mlat=34.0218&amp;mlon=44.9335&amp;zoom=12#map=12/34.0218/44.9335","Maplink1")</f>
        <v>Maplink1</v>
      </c>
      <c r="AX278" s="20" t="str">
        <f>HYPERLINK("https://www.google.iq/maps/search/+34.0218,44.9335/@34.0218,44.9335,14z?hl=en","Maplink2")</f>
        <v>Maplink2</v>
      </c>
      <c r="AY278" s="20" t="str">
        <f>HYPERLINK("http://www.bing.com/maps/?lvl=14&amp;sty=h&amp;cp=34.0218~44.9335&amp;sp=point.34.0218_44.9335","Maplink3")</f>
        <v>Maplink3</v>
      </c>
    </row>
    <row r="279" spans="1:51" x14ac:dyDescent="0.25">
      <c r="A279" s="9">
        <v>25679</v>
      </c>
      <c r="B279" s="10" t="s">
        <v>13</v>
      </c>
      <c r="C279" s="10" t="s">
        <v>324</v>
      </c>
      <c r="D279" s="10" t="s">
        <v>378</v>
      </c>
      <c r="E279" s="10" t="s">
        <v>379</v>
      </c>
      <c r="F279" s="10">
        <v>33.972200000000001</v>
      </c>
      <c r="G279" s="10">
        <v>44.9512</v>
      </c>
      <c r="H279" s="10" t="s">
        <v>213</v>
      </c>
      <c r="I279" s="10" t="s">
        <v>326</v>
      </c>
      <c r="J279" s="10"/>
      <c r="K279" s="11">
        <v>140</v>
      </c>
      <c r="L279" s="11">
        <v>840</v>
      </c>
      <c r="M279" s="11"/>
      <c r="N279" s="11"/>
      <c r="O279" s="11"/>
      <c r="P279" s="11"/>
      <c r="Q279" s="11"/>
      <c r="R279" s="11">
        <v>140</v>
      </c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>
        <v>40</v>
      </c>
      <c r="AG279" s="11"/>
      <c r="AH279" s="11"/>
      <c r="AI279" s="11"/>
      <c r="AJ279" s="11"/>
      <c r="AK279" s="11"/>
      <c r="AL279" s="11"/>
      <c r="AM279" s="11"/>
      <c r="AN279" s="11">
        <v>100</v>
      </c>
      <c r="AO279" s="11"/>
      <c r="AP279" s="11"/>
      <c r="AQ279" s="11"/>
      <c r="AR279" s="11"/>
      <c r="AS279" s="11">
        <v>140</v>
      </c>
      <c r="AT279" s="11"/>
      <c r="AU279" s="11"/>
      <c r="AV279" s="11"/>
      <c r="AW279" s="20" t="str">
        <f>HYPERLINK("http://www.openstreetmap.org/?mlat=33.9722&amp;mlon=44.9512&amp;zoom=12#map=12/33.9722/44.9512","Maplink1")</f>
        <v>Maplink1</v>
      </c>
      <c r="AX279" s="20" t="str">
        <f>HYPERLINK("https://www.google.iq/maps/search/+33.9722,44.9512/@33.9722,44.9512,14z?hl=en","Maplink2")</f>
        <v>Maplink2</v>
      </c>
      <c r="AY279" s="20" t="str">
        <f>HYPERLINK("http://www.bing.com/maps/?lvl=14&amp;sty=h&amp;cp=33.9722~44.9512&amp;sp=point.33.9722_44.9512","Maplink3")</f>
        <v>Maplink3</v>
      </c>
    </row>
    <row r="280" spans="1:51" x14ac:dyDescent="0.25">
      <c r="A280" s="9">
        <v>26113</v>
      </c>
      <c r="B280" s="10" t="s">
        <v>13</v>
      </c>
      <c r="C280" s="10" t="s">
        <v>324</v>
      </c>
      <c r="D280" s="10" t="s">
        <v>1107</v>
      </c>
      <c r="E280" s="10" t="s">
        <v>380</v>
      </c>
      <c r="F280" s="10">
        <v>34.061100000000003</v>
      </c>
      <c r="G280" s="10">
        <v>44.977499999999999</v>
      </c>
      <c r="H280" s="10" t="s">
        <v>213</v>
      </c>
      <c r="I280" s="10" t="s">
        <v>326</v>
      </c>
      <c r="J280" s="10"/>
      <c r="K280" s="11">
        <v>60</v>
      </c>
      <c r="L280" s="11">
        <v>360</v>
      </c>
      <c r="M280" s="11"/>
      <c r="N280" s="11"/>
      <c r="O280" s="11"/>
      <c r="P280" s="11"/>
      <c r="Q280" s="11"/>
      <c r="R280" s="11">
        <v>60</v>
      </c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>
        <v>60</v>
      </c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>
        <v>60</v>
      </c>
      <c r="AT280" s="11"/>
      <c r="AU280" s="11"/>
      <c r="AV280" s="11"/>
      <c r="AW280" s="20" t="str">
        <f>HYPERLINK("http://www.openstreetmap.org/?mlat=34.0611&amp;mlon=44.9775&amp;zoom=12#map=12/34.0611/44.9775","Maplink1")</f>
        <v>Maplink1</v>
      </c>
      <c r="AX280" s="20" t="str">
        <f>HYPERLINK("https://www.google.iq/maps/search/+34.0611,44.9775/@34.0611,44.9775,14z?hl=en","Maplink2")</f>
        <v>Maplink2</v>
      </c>
      <c r="AY280" s="20" t="str">
        <f>HYPERLINK("http://www.bing.com/maps/?lvl=14&amp;sty=h&amp;cp=34.0611~44.9775&amp;sp=point.34.0611_44.9775","Maplink3")</f>
        <v>Maplink3</v>
      </c>
    </row>
    <row r="281" spans="1:51" x14ac:dyDescent="0.25">
      <c r="A281" s="9">
        <v>27155</v>
      </c>
      <c r="B281" s="10" t="s">
        <v>13</v>
      </c>
      <c r="C281" s="10" t="s">
        <v>324</v>
      </c>
      <c r="D281" s="10" t="s">
        <v>784</v>
      </c>
      <c r="E281" s="10" t="s">
        <v>381</v>
      </c>
      <c r="F281" s="10">
        <v>33.985900000000001</v>
      </c>
      <c r="G281" s="10">
        <v>44.8187</v>
      </c>
      <c r="H281" s="10" t="s">
        <v>213</v>
      </c>
      <c r="I281" s="10" t="s">
        <v>326</v>
      </c>
      <c r="J281" s="10"/>
      <c r="K281" s="11">
        <v>55</v>
      </c>
      <c r="L281" s="11">
        <v>330</v>
      </c>
      <c r="M281" s="11"/>
      <c r="N281" s="11"/>
      <c r="O281" s="11"/>
      <c r="P281" s="11"/>
      <c r="Q281" s="11"/>
      <c r="R281" s="11">
        <v>30</v>
      </c>
      <c r="S281" s="11"/>
      <c r="T281" s="11"/>
      <c r="U281" s="11">
        <v>25</v>
      </c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>
        <v>55</v>
      </c>
      <c r="AO281" s="11"/>
      <c r="AP281" s="11"/>
      <c r="AQ281" s="11">
        <v>55</v>
      </c>
      <c r="AR281" s="11"/>
      <c r="AS281" s="11"/>
      <c r="AT281" s="11"/>
      <c r="AU281" s="11"/>
      <c r="AV281" s="11"/>
      <c r="AW281" s="20" t="str">
        <f>HYPERLINK("http://www.openstreetmap.org/?mlat=33.9859&amp;mlon=44.8187&amp;zoom=12#map=12/33.9859/44.8187","Maplink1")</f>
        <v>Maplink1</v>
      </c>
      <c r="AX281" s="20" t="str">
        <f>HYPERLINK("https://www.google.iq/maps/search/+33.9859,44.8187/@33.9859,44.8187,14z?hl=en","Maplink2")</f>
        <v>Maplink2</v>
      </c>
      <c r="AY281" s="20" t="str">
        <f>HYPERLINK("http://www.bing.com/maps/?lvl=14&amp;sty=h&amp;cp=33.9859~44.8187&amp;sp=point.33.9859_44.8187","Maplink3")</f>
        <v>Maplink3</v>
      </c>
    </row>
    <row r="282" spans="1:51" x14ac:dyDescent="0.25">
      <c r="A282" s="9">
        <v>27156</v>
      </c>
      <c r="B282" s="10" t="s">
        <v>13</v>
      </c>
      <c r="C282" s="10" t="s">
        <v>324</v>
      </c>
      <c r="D282" s="10" t="s">
        <v>785</v>
      </c>
      <c r="E282" s="10" t="s">
        <v>382</v>
      </c>
      <c r="F282" s="10">
        <v>33.985100000000003</v>
      </c>
      <c r="G282" s="10">
        <v>44.817700000000002</v>
      </c>
      <c r="H282" s="10" t="s">
        <v>213</v>
      </c>
      <c r="I282" s="10" t="s">
        <v>326</v>
      </c>
      <c r="J282" s="10"/>
      <c r="K282" s="11">
        <v>47</v>
      </c>
      <c r="L282" s="11">
        <v>282</v>
      </c>
      <c r="M282" s="11"/>
      <c r="N282" s="11"/>
      <c r="O282" s="11"/>
      <c r="P282" s="11"/>
      <c r="Q282" s="11"/>
      <c r="R282" s="11">
        <v>47</v>
      </c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>
        <v>47</v>
      </c>
      <c r="AO282" s="11"/>
      <c r="AP282" s="11"/>
      <c r="AQ282" s="11">
        <v>47</v>
      </c>
      <c r="AR282" s="11"/>
      <c r="AS282" s="11"/>
      <c r="AT282" s="11"/>
      <c r="AU282" s="11"/>
      <c r="AV282" s="11"/>
      <c r="AW282" s="20" t="str">
        <f>HYPERLINK("http://www.openstreetmap.org/?mlat=33.9851&amp;mlon=44.8177&amp;zoom=12#map=12/33.9851/44.8177","Maplink1")</f>
        <v>Maplink1</v>
      </c>
      <c r="AX282" s="20" t="str">
        <f>HYPERLINK("https://www.google.iq/maps/search/+33.9851,44.8177/@33.9851,44.8177,14z?hl=en","Maplink2")</f>
        <v>Maplink2</v>
      </c>
      <c r="AY282" s="20" t="str">
        <f>HYPERLINK("http://www.bing.com/maps/?lvl=14&amp;sty=h&amp;cp=33.9851~44.8177&amp;sp=point.33.9851_44.8177","Maplink3")</f>
        <v>Maplink3</v>
      </c>
    </row>
    <row r="283" spans="1:51" x14ac:dyDescent="0.25">
      <c r="A283" s="9">
        <v>27392</v>
      </c>
      <c r="B283" s="10" t="s">
        <v>13</v>
      </c>
      <c r="C283" s="10" t="s">
        <v>383</v>
      </c>
      <c r="D283" s="10" t="s">
        <v>384</v>
      </c>
      <c r="E283" s="10" t="s">
        <v>385</v>
      </c>
      <c r="F283" s="10">
        <v>34.350825804999999</v>
      </c>
      <c r="G283" s="10">
        <v>45.415341887300002</v>
      </c>
      <c r="H283" s="10" t="s">
        <v>213</v>
      </c>
      <c r="I283" s="10" t="s">
        <v>386</v>
      </c>
      <c r="J283" s="10"/>
      <c r="K283" s="11">
        <v>378</v>
      </c>
      <c r="L283" s="11">
        <v>2268</v>
      </c>
      <c r="M283" s="11"/>
      <c r="N283" s="11"/>
      <c r="O283" s="11"/>
      <c r="P283" s="11"/>
      <c r="Q283" s="11"/>
      <c r="R283" s="11">
        <v>340</v>
      </c>
      <c r="S283" s="11"/>
      <c r="T283" s="11"/>
      <c r="U283" s="11">
        <v>15</v>
      </c>
      <c r="V283" s="11"/>
      <c r="W283" s="11"/>
      <c r="X283" s="11"/>
      <c r="Y283" s="11"/>
      <c r="Z283" s="11"/>
      <c r="AA283" s="11"/>
      <c r="AB283" s="11">
        <v>23</v>
      </c>
      <c r="AC283" s="11"/>
      <c r="AD283" s="11"/>
      <c r="AE283" s="11"/>
      <c r="AF283" s="11">
        <v>378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>
        <v>378</v>
      </c>
      <c r="AR283" s="11"/>
      <c r="AS283" s="11"/>
      <c r="AT283" s="11"/>
      <c r="AU283" s="11"/>
      <c r="AV283" s="11"/>
      <c r="AW283" s="20" t="str">
        <f>HYPERLINK("http://www.openstreetmap.org/?mlat=34.3508&amp;mlon=45.4153&amp;zoom=12#map=12/34.3508/45.4153","Maplink1")</f>
        <v>Maplink1</v>
      </c>
      <c r="AX283" s="20" t="str">
        <f>HYPERLINK("https://www.google.iq/maps/search/+34.3508,45.4153/@34.3508,45.4153,14z?hl=en","Maplink2")</f>
        <v>Maplink2</v>
      </c>
      <c r="AY283" s="20" t="str">
        <f>HYPERLINK("http://www.bing.com/maps/?lvl=14&amp;sty=h&amp;cp=34.3508~45.4153&amp;sp=point.34.3508_45.4153","Maplink3")</f>
        <v>Maplink3</v>
      </c>
    </row>
    <row r="284" spans="1:51" x14ac:dyDescent="0.25">
      <c r="A284" s="9">
        <v>11435</v>
      </c>
      <c r="B284" s="10" t="s">
        <v>13</v>
      </c>
      <c r="C284" s="10" t="s">
        <v>383</v>
      </c>
      <c r="D284" s="10" t="s">
        <v>1108</v>
      </c>
      <c r="E284" s="10" t="s">
        <v>390</v>
      </c>
      <c r="F284" s="10">
        <v>34.1752743857</v>
      </c>
      <c r="G284" s="10">
        <v>45.112580528599999</v>
      </c>
      <c r="H284" s="10" t="s">
        <v>213</v>
      </c>
      <c r="I284" s="10" t="s">
        <v>386</v>
      </c>
      <c r="J284" s="10"/>
      <c r="K284" s="11">
        <v>174</v>
      </c>
      <c r="L284" s="11">
        <v>1044</v>
      </c>
      <c r="M284" s="11"/>
      <c r="N284" s="11"/>
      <c r="O284" s="11"/>
      <c r="P284" s="11"/>
      <c r="Q284" s="11"/>
      <c r="R284" s="11">
        <v>140</v>
      </c>
      <c r="S284" s="11"/>
      <c r="T284" s="11"/>
      <c r="U284" s="11">
        <v>20</v>
      </c>
      <c r="V284" s="11"/>
      <c r="W284" s="11"/>
      <c r="X284" s="11"/>
      <c r="Y284" s="11"/>
      <c r="Z284" s="11"/>
      <c r="AA284" s="11"/>
      <c r="AB284" s="11">
        <v>14</v>
      </c>
      <c r="AC284" s="11"/>
      <c r="AD284" s="11"/>
      <c r="AE284" s="11"/>
      <c r="AF284" s="11">
        <v>30</v>
      </c>
      <c r="AG284" s="11">
        <v>100</v>
      </c>
      <c r="AH284" s="11"/>
      <c r="AI284" s="11"/>
      <c r="AJ284" s="11"/>
      <c r="AK284" s="11"/>
      <c r="AL284" s="11">
        <v>14</v>
      </c>
      <c r="AM284" s="11"/>
      <c r="AN284" s="11">
        <v>30</v>
      </c>
      <c r="AO284" s="11"/>
      <c r="AP284" s="11"/>
      <c r="AQ284" s="11"/>
      <c r="AR284" s="11"/>
      <c r="AS284" s="11">
        <v>174</v>
      </c>
      <c r="AT284" s="11"/>
      <c r="AU284" s="11"/>
      <c r="AV284" s="11"/>
      <c r="AW284" s="20" t="str">
        <f>HYPERLINK("http://www.openstreetmap.org/?mlat=34.1753&amp;mlon=45.1126&amp;zoom=12#map=12/34.1753/45.1126","Maplink1")</f>
        <v>Maplink1</v>
      </c>
      <c r="AX284" s="20" t="str">
        <f>HYPERLINK("https://www.google.iq/maps/search/+34.1753,45.1126/@34.1753,45.1126,14z?hl=en","Maplink2")</f>
        <v>Maplink2</v>
      </c>
      <c r="AY284" s="20" t="str">
        <f>HYPERLINK("http://www.bing.com/maps/?lvl=14&amp;sty=h&amp;cp=34.1753~45.1126&amp;sp=point.34.1753_45.1126","Maplink3")</f>
        <v>Maplink3</v>
      </c>
    </row>
    <row r="285" spans="1:51" x14ac:dyDescent="0.25">
      <c r="A285" s="9">
        <v>25702</v>
      </c>
      <c r="B285" s="10" t="s">
        <v>13</v>
      </c>
      <c r="C285" s="10" t="s">
        <v>383</v>
      </c>
      <c r="D285" s="10" t="s">
        <v>1109</v>
      </c>
      <c r="E285" s="10" t="s">
        <v>391</v>
      </c>
      <c r="F285" s="10">
        <v>34.2873367535</v>
      </c>
      <c r="G285" s="10">
        <v>45.153023320899997</v>
      </c>
      <c r="H285" s="10" t="s">
        <v>213</v>
      </c>
      <c r="I285" s="10" t="s">
        <v>386</v>
      </c>
      <c r="J285" s="10"/>
      <c r="K285" s="11">
        <v>220</v>
      </c>
      <c r="L285" s="11">
        <v>1320</v>
      </c>
      <c r="M285" s="11"/>
      <c r="N285" s="11"/>
      <c r="O285" s="11"/>
      <c r="P285" s="11"/>
      <c r="Q285" s="11"/>
      <c r="R285" s="11">
        <v>120</v>
      </c>
      <c r="S285" s="11"/>
      <c r="T285" s="11"/>
      <c r="U285" s="11">
        <v>40</v>
      </c>
      <c r="V285" s="11"/>
      <c r="W285" s="11"/>
      <c r="X285" s="11"/>
      <c r="Y285" s="11"/>
      <c r="Z285" s="11"/>
      <c r="AA285" s="11"/>
      <c r="AB285" s="11">
        <v>60</v>
      </c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>
        <v>220</v>
      </c>
      <c r="AO285" s="11"/>
      <c r="AP285" s="11"/>
      <c r="AQ285" s="11"/>
      <c r="AR285" s="11"/>
      <c r="AS285" s="11">
        <v>220</v>
      </c>
      <c r="AT285" s="11"/>
      <c r="AU285" s="11"/>
      <c r="AV285" s="11"/>
      <c r="AW285" s="20" t="str">
        <f>HYPERLINK("http://www.openstreetmap.org/?mlat=34.2873&amp;mlon=45.153&amp;zoom=12#map=12/34.2873/45.153","Maplink1")</f>
        <v>Maplink1</v>
      </c>
      <c r="AX285" s="20" t="str">
        <f>HYPERLINK("https://www.google.iq/maps/search/+34.2873,45.153/@34.2873,45.153,14z?hl=en","Maplink2")</f>
        <v>Maplink2</v>
      </c>
      <c r="AY285" s="20" t="str">
        <f>HYPERLINK("http://www.bing.com/maps/?lvl=14&amp;sty=h&amp;cp=34.2873~45.153&amp;sp=point.34.2873_45.153","Maplink3")</f>
        <v>Maplink3</v>
      </c>
    </row>
    <row r="286" spans="1:51" x14ac:dyDescent="0.25">
      <c r="A286" s="9">
        <v>26124</v>
      </c>
      <c r="B286" s="10" t="s">
        <v>13</v>
      </c>
      <c r="C286" s="10" t="s">
        <v>383</v>
      </c>
      <c r="D286" s="10" t="s">
        <v>1110</v>
      </c>
      <c r="E286" s="10" t="s">
        <v>397</v>
      </c>
      <c r="F286" s="10">
        <v>34.188362409500002</v>
      </c>
      <c r="G286" s="10">
        <v>45.118962864899999</v>
      </c>
      <c r="H286" s="10" t="s">
        <v>213</v>
      </c>
      <c r="I286" s="10" t="s">
        <v>386</v>
      </c>
      <c r="J286" s="10"/>
      <c r="K286" s="11">
        <v>308</v>
      </c>
      <c r="L286" s="11">
        <v>1848</v>
      </c>
      <c r="M286" s="11"/>
      <c r="N286" s="11"/>
      <c r="O286" s="11"/>
      <c r="P286" s="11"/>
      <c r="Q286" s="11"/>
      <c r="R286" s="11">
        <v>280</v>
      </c>
      <c r="S286" s="11">
        <v>5</v>
      </c>
      <c r="T286" s="11"/>
      <c r="U286" s="11">
        <v>11</v>
      </c>
      <c r="V286" s="11"/>
      <c r="W286" s="11"/>
      <c r="X286" s="11"/>
      <c r="Y286" s="11"/>
      <c r="Z286" s="11"/>
      <c r="AA286" s="11"/>
      <c r="AB286" s="11">
        <v>12</v>
      </c>
      <c r="AC286" s="11"/>
      <c r="AD286" s="11"/>
      <c r="AE286" s="11"/>
      <c r="AF286" s="11">
        <v>180</v>
      </c>
      <c r="AG286" s="11">
        <v>61</v>
      </c>
      <c r="AH286" s="11"/>
      <c r="AI286" s="11"/>
      <c r="AJ286" s="11"/>
      <c r="AK286" s="11"/>
      <c r="AL286" s="11"/>
      <c r="AM286" s="11"/>
      <c r="AN286" s="11">
        <v>67</v>
      </c>
      <c r="AO286" s="11"/>
      <c r="AP286" s="11"/>
      <c r="AQ286" s="11">
        <v>308</v>
      </c>
      <c r="AR286" s="11"/>
      <c r="AS286" s="11"/>
      <c r="AT286" s="11"/>
      <c r="AU286" s="11"/>
      <c r="AV286" s="11"/>
      <c r="AW286" s="20" t="str">
        <f>HYPERLINK("http://www.openstreetmap.org/?mlat=34.1884&amp;mlon=45.119&amp;zoom=12#map=12/34.1884/45.119","Maplink1")</f>
        <v>Maplink1</v>
      </c>
      <c r="AX286" s="20" t="str">
        <f>HYPERLINK("https://www.google.iq/maps/search/+34.1884,45.119/@34.1884,45.119,14z?hl=en","Maplink2")</f>
        <v>Maplink2</v>
      </c>
      <c r="AY286" s="20" t="str">
        <f>HYPERLINK("http://www.bing.com/maps/?lvl=14&amp;sty=h&amp;cp=34.1884~45.119&amp;sp=point.34.1884_45.119","Maplink3")</f>
        <v>Maplink3</v>
      </c>
    </row>
    <row r="287" spans="1:51" x14ac:dyDescent="0.25">
      <c r="A287" s="9">
        <v>29569</v>
      </c>
      <c r="B287" s="10" t="s">
        <v>13</v>
      </c>
      <c r="C287" s="10" t="s">
        <v>383</v>
      </c>
      <c r="D287" s="10" t="s">
        <v>786</v>
      </c>
      <c r="E287" s="10" t="s">
        <v>787</v>
      </c>
      <c r="F287" s="10">
        <v>34.271725000000004</v>
      </c>
      <c r="G287" s="10">
        <v>45.168264999999998</v>
      </c>
      <c r="H287" s="10" t="s">
        <v>213</v>
      </c>
      <c r="I287" s="10" t="s">
        <v>386</v>
      </c>
      <c r="J287" s="10"/>
      <c r="K287" s="11">
        <v>1750</v>
      </c>
      <c r="L287" s="11">
        <v>10500</v>
      </c>
      <c r="M287" s="11"/>
      <c r="N287" s="11"/>
      <c r="O287" s="11"/>
      <c r="P287" s="11"/>
      <c r="Q287" s="11"/>
      <c r="R287" s="11">
        <v>1580</v>
      </c>
      <c r="S287" s="11">
        <v>5</v>
      </c>
      <c r="T287" s="11"/>
      <c r="U287" s="11">
        <v>40</v>
      </c>
      <c r="V287" s="11"/>
      <c r="W287" s="11"/>
      <c r="X287" s="11"/>
      <c r="Y287" s="11"/>
      <c r="Z287" s="11"/>
      <c r="AA287" s="11"/>
      <c r="AB287" s="11">
        <v>125</v>
      </c>
      <c r="AC287" s="11"/>
      <c r="AD287" s="11"/>
      <c r="AE287" s="11"/>
      <c r="AF287" s="11">
        <v>1750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>
        <v>1180</v>
      </c>
      <c r="AR287" s="11">
        <v>570</v>
      </c>
      <c r="AS287" s="11"/>
      <c r="AT287" s="11"/>
      <c r="AU287" s="11"/>
      <c r="AV287" s="11"/>
      <c r="AW287" s="20" t="str">
        <f>HYPERLINK("http://www.openstreetmap.org/?mlat=34.2717&amp;mlon=45.1683&amp;zoom=12#map=12/34.2717/45.1683","Maplink1")</f>
        <v>Maplink1</v>
      </c>
      <c r="AX287" s="20" t="str">
        <f>HYPERLINK("https://www.google.iq/maps/search/+34.2717,45.1683/@34.2717,45.1683,14z?hl=en","Maplink2")</f>
        <v>Maplink2</v>
      </c>
      <c r="AY287" s="20" t="str">
        <f>HYPERLINK("http://www.bing.com/maps/?lvl=14&amp;sty=h&amp;cp=34.2717~45.1683&amp;sp=point.34.2717_45.1683","Maplink3")</f>
        <v>Maplink3</v>
      </c>
    </row>
    <row r="288" spans="1:51" x14ac:dyDescent="0.25">
      <c r="A288" s="9">
        <v>29477</v>
      </c>
      <c r="B288" s="10" t="s">
        <v>13</v>
      </c>
      <c r="C288" s="10" t="s">
        <v>383</v>
      </c>
      <c r="D288" s="10" t="s">
        <v>1111</v>
      </c>
      <c r="E288" s="10" t="s">
        <v>358</v>
      </c>
      <c r="F288" s="10">
        <v>34.274546000000001</v>
      </c>
      <c r="G288" s="10">
        <v>45.165781000000003</v>
      </c>
      <c r="H288" s="10" t="s">
        <v>213</v>
      </c>
      <c r="I288" s="10" t="s">
        <v>386</v>
      </c>
      <c r="J288" s="10"/>
      <c r="K288" s="11">
        <v>1550</v>
      </c>
      <c r="L288" s="11">
        <v>9300</v>
      </c>
      <c r="M288" s="11"/>
      <c r="N288" s="11"/>
      <c r="O288" s="11"/>
      <c r="P288" s="11"/>
      <c r="Q288" s="11"/>
      <c r="R288" s="11">
        <v>1530</v>
      </c>
      <c r="S288" s="11"/>
      <c r="T288" s="11">
        <v>10</v>
      </c>
      <c r="U288" s="11"/>
      <c r="V288" s="11"/>
      <c r="W288" s="11"/>
      <c r="X288" s="11"/>
      <c r="Y288" s="11"/>
      <c r="Z288" s="11"/>
      <c r="AA288" s="11"/>
      <c r="AB288" s="11">
        <v>10</v>
      </c>
      <c r="AC288" s="11"/>
      <c r="AD288" s="11"/>
      <c r="AE288" s="11"/>
      <c r="AF288" s="11">
        <v>1550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>
        <v>1450</v>
      </c>
      <c r="AR288" s="11">
        <v>100</v>
      </c>
      <c r="AS288" s="11"/>
      <c r="AT288" s="11"/>
      <c r="AU288" s="11"/>
      <c r="AV288" s="11"/>
      <c r="AW288" s="20" t="str">
        <f>HYPERLINK("http://www.openstreetmap.org/?mlat=34.2745&amp;mlon=45.1658&amp;zoom=12#map=12/34.2745/45.1658","Maplink1")</f>
        <v>Maplink1</v>
      </c>
      <c r="AX288" s="20" t="str">
        <f>HYPERLINK("https://www.google.iq/maps/search/+34.2745,45.1658/@34.2745,45.1658,14z?hl=en","Maplink2")</f>
        <v>Maplink2</v>
      </c>
      <c r="AY288" s="20" t="str">
        <f>HYPERLINK("http://www.bing.com/maps/?lvl=14&amp;sty=h&amp;cp=34.2745~45.1658&amp;sp=point.34.2745_45.1658","Maplink3")</f>
        <v>Maplink3</v>
      </c>
    </row>
    <row r="289" spans="1:51" x14ac:dyDescent="0.25">
      <c r="A289" s="9">
        <v>25983</v>
      </c>
      <c r="B289" s="10" t="s">
        <v>13</v>
      </c>
      <c r="C289" s="10" t="s">
        <v>383</v>
      </c>
      <c r="D289" s="10" t="s">
        <v>1112</v>
      </c>
      <c r="E289" s="10" t="s">
        <v>901</v>
      </c>
      <c r="F289" s="10">
        <v>34.351071661100001</v>
      </c>
      <c r="G289" s="10">
        <v>45.415322805800002</v>
      </c>
      <c r="H289" s="10" t="s">
        <v>213</v>
      </c>
      <c r="I289" s="10" t="s">
        <v>386</v>
      </c>
      <c r="J289" s="10"/>
      <c r="K289" s="11">
        <v>208</v>
      </c>
      <c r="L289" s="11">
        <v>1248</v>
      </c>
      <c r="M289" s="11"/>
      <c r="N289" s="11"/>
      <c r="O289" s="11"/>
      <c r="P289" s="11"/>
      <c r="Q289" s="11"/>
      <c r="R289" s="11">
        <v>200</v>
      </c>
      <c r="S289" s="11"/>
      <c r="T289" s="11"/>
      <c r="U289" s="11">
        <v>8</v>
      </c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>
        <v>208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>
        <v>208</v>
      </c>
      <c r="AR289" s="11"/>
      <c r="AS289" s="11"/>
      <c r="AT289" s="11"/>
      <c r="AU289" s="11"/>
      <c r="AV289" s="11"/>
      <c r="AW289" s="20" t="str">
        <f>HYPERLINK("http://www.openstreetmap.org/?mlat=34.3511&amp;mlon=45.4153&amp;zoom=12#map=12/34.3511/45.4153","Maplink1")</f>
        <v>Maplink1</v>
      </c>
      <c r="AX289" s="20" t="str">
        <f>HYPERLINK("https://www.google.iq/maps/search/+34.3511,45.4153/@34.3511,45.4153,14z?hl=en","Maplink2")</f>
        <v>Maplink2</v>
      </c>
      <c r="AY289" s="20" t="str">
        <f>HYPERLINK("http://www.bing.com/maps/?lvl=14&amp;sty=h&amp;cp=34.3511~45.4153&amp;sp=point.34.3511_45.4153","Maplink3")</f>
        <v>Maplink3</v>
      </c>
    </row>
    <row r="290" spans="1:51" x14ac:dyDescent="0.25">
      <c r="A290" s="9">
        <v>29507</v>
      </c>
      <c r="B290" s="10" t="s">
        <v>13</v>
      </c>
      <c r="C290" s="10" t="s">
        <v>383</v>
      </c>
      <c r="D290" s="10" t="s">
        <v>1113</v>
      </c>
      <c r="E290" s="10" t="s">
        <v>392</v>
      </c>
      <c r="F290" s="10">
        <v>34.350832323900001</v>
      </c>
      <c r="G290" s="10">
        <v>45.415382378799997</v>
      </c>
      <c r="H290" s="10" t="s">
        <v>213</v>
      </c>
      <c r="I290" s="10" t="s">
        <v>386</v>
      </c>
      <c r="J290" s="10"/>
      <c r="K290" s="11">
        <v>215</v>
      </c>
      <c r="L290" s="11">
        <v>1290</v>
      </c>
      <c r="M290" s="11"/>
      <c r="N290" s="11"/>
      <c r="O290" s="11"/>
      <c r="P290" s="11"/>
      <c r="Q290" s="11"/>
      <c r="R290" s="11">
        <v>180</v>
      </c>
      <c r="S290" s="11"/>
      <c r="T290" s="11"/>
      <c r="U290" s="11">
        <v>10</v>
      </c>
      <c r="V290" s="11"/>
      <c r="W290" s="11"/>
      <c r="X290" s="11"/>
      <c r="Y290" s="11"/>
      <c r="Z290" s="11"/>
      <c r="AA290" s="11"/>
      <c r="AB290" s="11">
        <v>25</v>
      </c>
      <c r="AC290" s="11"/>
      <c r="AD290" s="11"/>
      <c r="AE290" s="11"/>
      <c r="AF290" s="11">
        <v>215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>
        <v>215</v>
      </c>
      <c r="AR290" s="11"/>
      <c r="AS290" s="11"/>
      <c r="AT290" s="11"/>
      <c r="AU290" s="11"/>
      <c r="AV290" s="11"/>
      <c r="AW290" s="20" t="str">
        <f>HYPERLINK("http://www.openstreetmap.org/?mlat=34.3508&amp;mlon=45.4154&amp;zoom=12#map=12/34.3508/45.4154","Maplink1")</f>
        <v>Maplink1</v>
      </c>
      <c r="AX290" s="20" t="str">
        <f>HYPERLINK("https://www.google.iq/maps/search/+34.3508,45.4154/@34.3508,45.4154,14z?hl=en","Maplink2")</f>
        <v>Maplink2</v>
      </c>
      <c r="AY290" s="20" t="str">
        <f>HYPERLINK("http://www.bing.com/maps/?lvl=14&amp;sty=h&amp;cp=34.3508~45.4154&amp;sp=point.34.3508_45.4154","Maplink3")</f>
        <v>Maplink3</v>
      </c>
    </row>
    <row r="291" spans="1:51" x14ac:dyDescent="0.25">
      <c r="A291" s="9">
        <v>29506</v>
      </c>
      <c r="B291" s="10" t="s">
        <v>13</v>
      </c>
      <c r="C291" s="10" t="s">
        <v>383</v>
      </c>
      <c r="D291" s="10" t="s">
        <v>1114</v>
      </c>
      <c r="E291" s="10" t="s">
        <v>393</v>
      </c>
      <c r="F291" s="10">
        <v>34.350848158799998</v>
      </c>
      <c r="G291" s="10">
        <v>45.415377527399997</v>
      </c>
      <c r="H291" s="10" t="s">
        <v>213</v>
      </c>
      <c r="I291" s="10" t="s">
        <v>386</v>
      </c>
      <c r="J291" s="10"/>
      <c r="K291" s="11">
        <v>200</v>
      </c>
      <c r="L291" s="11">
        <v>1200</v>
      </c>
      <c r="M291" s="11"/>
      <c r="N291" s="11"/>
      <c r="O291" s="11"/>
      <c r="P291" s="11"/>
      <c r="Q291" s="11"/>
      <c r="R291" s="11">
        <v>190</v>
      </c>
      <c r="S291" s="11"/>
      <c r="T291" s="11"/>
      <c r="U291" s="11">
        <v>10</v>
      </c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>
        <v>200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>
        <v>200</v>
      </c>
      <c r="AR291" s="11"/>
      <c r="AS291" s="11"/>
      <c r="AT291" s="11"/>
      <c r="AU291" s="11"/>
      <c r="AV291" s="11"/>
      <c r="AW291" s="20" t="str">
        <f>HYPERLINK("http://www.openstreetmap.org/?mlat=34.3508&amp;mlon=45.4154&amp;zoom=12#map=12/34.3508/45.4154","Maplink1")</f>
        <v>Maplink1</v>
      </c>
      <c r="AX291" s="20" t="str">
        <f>HYPERLINK("https://www.google.iq/maps/search/+34.3508,45.4154/@34.3508,45.4154,14z?hl=en","Maplink2")</f>
        <v>Maplink2</v>
      </c>
      <c r="AY291" s="20" t="str">
        <f>HYPERLINK("http://www.bing.com/maps/?lvl=14&amp;sty=h&amp;cp=34.3508~45.4154&amp;sp=point.34.3508_45.4154","Maplink3")</f>
        <v>Maplink3</v>
      </c>
    </row>
    <row r="292" spans="1:51" x14ac:dyDescent="0.25">
      <c r="A292" s="9">
        <v>29521</v>
      </c>
      <c r="B292" s="10" t="s">
        <v>13</v>
      </c>
      <c r="C292" s="10" t="s">
        <v>383</v>
      </c>
      <c r="D292" s="10" t="s">
        <v>387</v>
      </c>
      <c r="E292" s="10" t="s">
        <v>388</v>
      </c>
      <c r="F292" s="10">
        <v>34.177523833899997</v>
      </c>
      <c r="G292" s="10">
        <v>45.1212783386</v>
      </c>
      <c r="H292" s="10" t="s">
        <v>213</v>
      </c>
      <c r="I292" s="10" t="s">
        <v>386</v>
      </c>
      <c r="J292" s="10"/>
      <c r="K292" s="11">
        <v>190</v>
      </c>
      <c r="L292" s="11">
        <v>1140</v>
      </c>
      <c r="M292" s="11"/>
      <c r="N292" s="11"/>
      <c r="O292" s="11"/>
      <c r="P292" s="11"/>
      <c r="Q292" s="11"/>
      <c r="R292" s="11">
        <v>150</v>
      </c>
      <c r="S292" s="11">
        <v>15</v>
      </c>
      <c r="T292" s="11"/>
      <c r="U292" s="11">
        <v>20</v>
      </c>
      <c r="V292" s="11"/>
      <c r="W292" s="11"/>
      <c r="X292" s="11"/>
      <c r="Y292" s="11"/>
      <c r="Z292" s="11"/>
      <c r="AA292" s="11"/>
      <c r="AB292" s="11">
        <v>5</v>
      </c>
      <c r="AC292" s="11"/>
      <c r="AD292" s="11"/>
      <c r="AE292" s="11"/>
      <c r="AF292" s="11">
        <v>190</v>
      </c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>
        <v>190</v>
      </c>
      <c r="AR292" s="11"/>
      <c r="AS292" s="11"/>
      <c r="AT292" s="11"/>
      <c r="AU292" s="11"/>
      <c r="AV292" s="11"/>
      <c r="AW292" s="20" t="str">
        <f>HYPERLINK("http://www.openstreetmap.org/?mlat=34.1775&amp;mlon=45.1213&amp;zoom=12#map=12/34.1775/45.1213","Maplink1")</f>
        <v>Maplink1</v>
      </c>
      <c r="AX292" s="20" t="str">
        <f>HYPERLINK("https://www.google.iq/maps/search/+34.1775,45.1213/@34.1775,45.1213,14z?hl=en","Maplink2")</f>
        <v>Maplink2</v>
      </c>
      <c r="AY292" s="20" t="str">
        <f>HYPERLINK("http://www.bing.com/maps/?lvl=14&amp;sty=h&amp;cp=34.1775~45.1213&amp;sp=point.34.1775_45.1213","Maplink3")</f>
        <v>Maplink3</v>
      </c>
    </row>
    <row r="293" spans="1:51" x14ac:dyDescent="0.25">
      <c r="A293" s="9">
        <v>27391</v>
      </c>
      <c r="B293" s="10" t="s">
        <v>13</v>
      </c>
      <c r="C293" s="10" t="s">
        <v>383</v>
      </c>
      <c r="D293" s="10" t="s">
        <v>1426</v>
      </c>
      <c r="E293" s="10" t="s">
        <v>1427</v>
      </c>
      <c r="F293" s="10">
        <v>34.182388585200002</v>
      </c>
      <c r="G293" s="10">
        <v>45.118945997200001</v>
      </c>
      <c r="H293" s="10" t="s">
        <v>213</v>
      </c>
      <c r="I293" s="10" t="s">
        <v>386</v>
      </c>
      <c r="J293" s="10"/>
      <c r="K293" s="11">
        <v>383</v>
      </c>
      <c r="L293" s="11">
        <v>2298</v>
      </c>
      <c r="M293" s="11"/>
      <c r="N293" s="11"/>
      <c r="O293" s="11"/>
      <c r="P293" s="11"/>
      <c r="Q293" s="11"/>
      <c r="R293" s="11">
        <v>316</v>
      </c>
      <c r="S293" s="11"/>
      <c r="T293" s="11"/>
      <c r="U293" s="11">
        <v>7</v>
      </c>
      <c r="V293" s="11"/>
      <c r="W293" s="11"/>
      <c r="X293" s="11"/>
      <c r="Y293" s="11"/>
      <c r="Z293" s="11"/>
      <c r="AA293" s="11"/>
      <c r="AB293" s="11">
        <v>60</v>
      </c>
      <c r="AC293" s="11"/>
      <c r="AD293" s="11"/>
      <c r="AE293" s="11"/>
      <c r="AF293" s="11">
        <v>377</v>
      </c>
      <c r="AG293" s="11"/>
      <c r="AH293" s="11"/>
      <c r="AI293" s="11"/>
      <c r="AJ293" s="11"/>
      <c r="AK293" s="11"/>
      <c r="AL293" s="11">
        <v>6</v>
      </c>
      <c r="AM293" s="11"/>
      <c r="AN293" s="11"/>
      <c r="AO293" s="11"/>
      <c r="AP293" s="11"/>
      <c r="AQ293" s="11">
        <v>383</v>
      </c>
      <c r="AR293" s="11"/>
      <c r="AS293" s="11"/>
      <c r="AT293" s="11"/>
      <c r="AU293" s="11"/>
      <c r="AV293" s="11"/>
      <c r="AW293" s="20" t="str">
        <f>HYPERLINK("http://www.openstreetmap.org/?mlat=34.1824&amp;mlon=45.1189&amp;zoom=12#map=12/34.1824/45.1189","Maplink1")</f>
        <v>Maplink1</v>
      </c>
      <c r="AX293" s="20" t="str">
        <f>HYPERLINK("https://www.google.iq/maps/search/+34.1824,45.1189/@34.1824,45.1189,14z?hl=en","Maplink2")</f>
        <v>Maplink2</v>
      </c>
      <c r="AY293" s="20" t="str">
        <f>HYPERLINK("http://www.bing.com/maps/?lvl=14&amp;sty=h&amp;cp=34.1824~45.1189&amp;sp=point.34.1824_45.1189","Maplink3")</f>
        <v>Maplink3</v>
      </c>
    </row>
    <row r="294" spans="1:51" x14ac:dyDescent="0.25">
      <c r="A294" s="9">
        <v>29570</v>
      </c>
      <c r="B294" s="10" t="s">
        <v>13</v>
      </c>
      <c r="C294" s="10" t="s">
        <v>383</v>
      </c>
      <c r="D294" s="10" t="s">
        <v>788</v>
      </c>
      <c r="E294" s="10" t="s">
        <v>295</v>
      </c>
      <c r="F294" s="10">
        <v>34.277932999999997</v>
      </c>
      <c r="G294" s="10">
        <v>45.172308000000001</v>
      </c>
      <c r="H294" s="10" t="s">
        <v>213</v>
      </c>
      <c r="I294" s="10" t="s">
        <v>386</v>
      </c>
      <c r="J294" s="10"/>
      <c r="K294" s="11">
        <v>1850</v>
      </c>
      <c r="L294" s="11">
        <v>11100</v>
      </c>
      <c r="M294" s="11"/>
      <c r="N294" s="11"/>
      <c r="O294" s="11"/>
      <c r="P294" s="11"/>
      <c r="Q294" s="11"/>
      <c r="R294" s="11">
        <v>1720</v>
      </c>
      <c r="S294" s="11">
        <v>5</v>
      </c>
      <c r="T294" s="11"/>
      <c r="U294" s="11">
        <v>25</v>
      </c>
      <c r="V294" s="11"/>
      <c r="W294" s="11"/>
      <c r="X294" s="11"/>
      <c r="Y294" s="11"/>
      <c r="Z294" s="11"/>
      <c r="AA294" s="11"/>
      <c r="AB294" s="11">
        <v>100</v>
      </c>
      <c r="AC294" s="11"/>
      <c r="AD294" s="11"/>
      <c r="AE294" s="11"/>
      <c r="AF294" s="11">
        <v>1850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>
        <v>1350</v>
      </c>
      <c r="AR294" s="11">
        <v>500</v>
      </c>
      <c r="AS294" s="11"/>
      <c r="AT294" s="11"/>
      <c r="AU294" s="11"/>
      <c r="AV294" s="11"/>
      <c r="AW294" s="20" t="str">
        <f>HYPERLINK("http://www.openstreetmap.org/?mlat=34.2779&amp;mlon=45.1723&amp;zoom=12#map=12/34.2779/45.1723","Maplink1")</f>
        <v>Maplink1</v>
      </c>
      <c r="AX294" s="20" t="str">
        <f>HYPERLINK("https://www.google.iq/maps/search/+34.2779,45.1723/@34.2779,45.1723,14z?hl=en","Maplink2")</f>
        <v>Maplink2</v>
      </c>
      <c r="AY294" s="20" t="str">
        <f>HYPERLINK("http://www.bing.com/maps/?lvl=14&amp;sty=h&amp;cp=34.2779~45.1723&amp;sp=point.34.2779_45.1723","Maplink3")</f>
        <v>Maplink3</v>
      </c>
    </row>
    <row r="295" spans="1:51" x14ac:dyDescent="0.25">
      <c r="A295" s="9">
        <v>29519</v>
      </c>
      <c r="B295" s="10" t="s">
        <v>13</v>
      </c>
      <c r="C295" s="10" t="s">
        <v>383</v>
      </c>
      <c r="D295" s="10" t="s">
        <v>789</v>
      </c>
      <c r="E295" s="10" t="s">
        <v>389</v>
      </c>
      <c r="F295" s="10">
        <v>34.198936398000001</v>
      </c>
      <c r="G295" s="10">
        <v>45.130894382599998</v>
      </c>
      <c r="H295" s="10" t="s">
        <v>213</v>
      </c>
      <c r="I295" s="10" t="s">
        <v>386</v>
      </c>
      <c r="J295" s="10"/>
      <c r="K295" s="11">
        <v>60</v>
      </c>
      <c r="L295" s="11">
        <v>360</v>
      </c>
      <c r="M295" s="11"/>
      <c r="N295" s="11"/>
      <c r="O295" s="11"/>
      <c r="P295" s="11"/>
      <c r="Q295" s="11"/>
      <c r="R295" s="11">
        <v>60</v>
      </c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>
        <v>60</v>
      </c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>
        <v>60</v>
      </c>
      <c r="AR295" s="11"/>
      <c r="AS295" s="11"/>
      <c r="AT295" s="11"/>
      <c r="AU295" s="11"/>
      <c r="AV295" s="11"/>
      <c r="AW295" s="20" t="str">
        <f>HYPERLINK("http://www.openstreetmap.org/?mlat=34.1989&amp;mlon=45.1309&amp;zoom=12#map=12/34.1989/45.1309","Maplink1")</f>
        <v>Maplink1</v>
      </c>
      <c r="AX295" s="20" t="str">
        <f>HYPERLINK("https://www.google.iq/maps/search/+34.1989,45.1309/@34.1989,45.1309,14z?hl=en","Maplink2")</f>
        <v>Maplink2</v>
      </c>
      <c r="AY295" s="20" t="str">
        <f>HYPERLINK("http://www.bing.com/maps/?lvl=14&amp;sty=h&amp;cp=34.1989~45.1309&amp;sp=point.34.1989_45.1309","Maplink3")</f>
        <v>Maplink3</v>
      </c>
    </row>
    <row r="296" spans="1:51" x14ac:dyDescent="0.25">
      <c r="A296" s="9">
        <v>29564</v>
      </c>
      <c r="B296" s="10" t="s">
        <v>13</v>
      </c>
      <c r="C296" s="10" t="s">
        <v>383</v>
      </c>
      <c r="D296" s="10" t="s">
        <v>1115</v>
      </c>
      <c r="E296" s="10" t="s">
        <v>394</v>
      </c>
      <c r="F296" s="10">
        <v>34.278814470699999</v>
      </c>
      <c r="G296" s="10">
        <v>45.162148633900003</v>
      </c>
      <c r="H296" s="10" t="s">
        <v>213</v>
      </c>
      <c r="I296" s="10" t="s">
        <v>386</v>
      </c>
      <c r="J296" s="10"/>
      <c r="K296" s="11">
        <v>331</v>
      </c>
      <c r="L296" s="11">
        <v>1986</v>
      </c>
      <c r="M296" s="11"/>
      <c r="N296" s="11"/>
      <c r="O296" s="11"/>
      <c r="P296" s="11"/>
      <c r="Q296" s="11"/>
      <c r="R296" s="11">
        <v>300</v>
      </c>
      <c r="S296" s="11"/>
      <c r="T296" s="11"/>
      <c r="U296" s="11">
        <v>25</v>
      </c>
      <c r="V296" s="11"/>
      <c r="W296" s="11"/>
      <c r="X296" s="11"/>
      <c r="Y296" s="11"/>
      <c r="Z296" s="11"/>
      <c r="AA296" s="11"/>
      <c r="AB296" s="11">
        <v>6</v>
      </c>
      <c r="AC296" s="11"/>
      <c r="AD296" s="11"/>
      <c r="AE296" s="11"/>
      <c r="AF296" s="11">
        <v>331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>
        <v>331</v>
      </c>
      <c r="AR296" s="11"/>
      <c r="AS296" s="11"/>
      <c r="AT296" s="11"/>
      <c r="AU296" s="11"/>
      <c r="AV296" s="11"/>
      <c r="AW296" s="20" t="str">
        <f>HYPERLINK("http://www.openstreetmap.org/?mlat=34.2788&amp;mlon=45.1621&amp;zoom=12#map=12/34.2788/45.1621","Maplink1")</f>
        <v>Maplink1</v>
      </c>
      <c r="AX296" s="20" t="str">
        <f>HYPERLINK("https://www.google.iq/maps/search/+34.2788,45.1621/@34.2788,45.1621,14z?hl=en","Maplink2")</f>
        <v>Maplink2</v>
      </c>
      <c r="AY296" s="20" t="str">
        <f>HYPERLINK("http://www.bing.com/maps/?lvl=14&amp;sty=h&amp;cp=34.2788~45.1621&amp;sp=point.34.2788_45.1621","Maplink3")</f>
        <v>Maplink3</v>
      </c>
    </row>
    <row r="297" spans="1:51" x14ac:dyDescent="0.25">
      <c r="A297" s="9">
        <v>27389</v>
      </c>
      <c r="B297" s="10" t="s">
        <v>13</v>
      </c>
      <c r="C297" s="10" t="s">
        <v>383</v>
      </c>
      <c r="D297" s="10" t="s">
        <v>1116</v>
      </c>
      <c r="E297" s="10" t="s">
        <v>395</v>
      </c>
      <c r="F297" s="10">
        <v>34.276698882300003</v>
      </c>
      <c r="G297" s="10">
        <v>45.162752349500003</v>
      </c>
      <c r="H297" s="10" t="s">
        <v>213</v>
      </c>
      <c r="I297" s="10" t="s">
        <v>386</v>
      </c>
      <c r="J297" s="10"/>
      <c r="K297" s="11">
        <v>1800</v>
      </c>
      <c r="L297" s="11">
        <v>10800</v>
      </c>
      <c r="M297" s="11"/>
      <c r="N297" s="11"/>
      <c r="O297" s="11"/>
      <c r="P297" s="11"/>
      <c r="Q297" s="11"/>
      <c r="R297" s="11">
        <v>1650</v>
      </c>
      <c r="S297" s="11"/>
      <c r="T297" s="11"/>
      <c r="U297" s="11">
        <v>50</v>
      </c>
      <c r="V297" s="11"/>
      <c r="W297" s="11"/>
      <c r="X297" s="11"/>
      <c r="Y297" s="11"/>
      <c r="Z297" s="11"/>
      <c r="AA297" s="11"/>
      <c r="AB297" s="11">
        <v>100</v>
      </c>
      <c r="AC297" s="11"/>
      <c r="AD297" s="11"/>
      <c r="AE297" s="11"/>
      <c r="AF297" s="11">
        <v>1537</v>
      </c>
      <c r="AG297" s="11">
        <v>30</v>
      </c>
      <c r="AH297" s="11"/>
      <c r="AI297" s="11"/>
      <c r="AJ297" s="11"/>
      <c r="AK297" s="11"/>
      <c r="AL297" s="11"/>
      <c r="AM297" s="11"/>
      <c r="AN297" s="11">
        <v>233</v>
      </c>
      <c r="AO297" s="11"/>
      <c r="AP297" s="11"/>
      <c r="AQ297" s="11">
        <v>1800</v>
      </c>
      <c r="AR297" s="11"/>
      <c r="AS297" s="11"/>
      <c r="AT297" s="11"/>
      <c r="AU297" s="11"/>
      <c r="AV297" s="11"/>
      <c r="AW297" s="20" t="str">
        <f>HYPERLINK("http://www.openstreetmap.org/?mlat=34.2767&amp;mlon=45.1628&amp;zoom=12#map=12/34.2767/45.1628","Maplink1")</f>
        <v>Maplink1</v>
      </c>
      <c r="AX297" s="20" t="str">
        <f>HYPERLINK("https://www.google.iq/maps/search/+34.2767,45.1628/@34.2767,45.1628,14z?hl=en","Maplink2")</f>
        <v>Maplink2</v>
      </c>
      <c r="AY297" s="20" t="str">
        <f>HYPERLINK("http://www.bing.com/maps/?lvl=14&amp;sty=h&amp;cp=34.2767~45.1628&amp;sp=point.34.2767_45.1628","Maplink3")</f>
        <v>Maplink3</v>
      </c>
    </row>
    <row r="298" spans="1:51" x14ac:dyDescent="0.25">
      <c r="A298" s="9">
        <v>29587</v>
      </c>
      <c r="B298" s="10" t="s">
        <v>13</v>
      </c>
      <c r="C298" s="10" t="s">
        <v>383</v>
      </c>
      <c r="D298" s="10" t="s">
        <v>900</v>
      </c>
      <c r="E298" s="10" t="s">
        <v>396</v>
      </c>
      <c r="F298" s="10">
        <v>34.172876000000002</v>
      </c>
      <c r="G298" s="10">
        <v>45.135468000000003</v>
      </c>
      <c r="H298" s="10" t="s">
        <v>213</v>
      </c>
      <c r="I298" s="10" t="s">
        <v>386</v>
      </c>
      <c r="J298" s="10"/>
      <c r="K298" s="11">
        <v>50</v>
      </c>
      <c r="L298" s="11">
        <v>300</v>
      </c>
      <c r="M298" s="11"/>
      <c r="N298" s="11"/>
      <c r="O298" s="11"/>
      <c r="P298" s="11"/>
      <c r="Q298" s="11"/>
      <c r="R298" s="11">
        <v>35</v>
      </c>
      <c r="S298" s="11">
        <v>2</v>
      </c>
      <c r="T298" s="11"/>
      <c r="U298" s="11">
        <v>6</v>
      </c>
      <c r="V298" s="11"/>
      <c r="W298" s="11"/>
      <c r="X298" s="11"/>
      <c r="Y298" s="11"/>
      <c r="Z298" s="11"/>
      <c r="AA298" s="11"/>
      <c r="AB298" s="11">
        <v>7</v>
      </c>
      <c r="AC298" s="11"/>
      <c r="AD298" s="11"/>
      <c r="AE298" s="11"/>
      <c r="AF298" s="11">
        <v>50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>
        <v>50</v>
      </c>
      <c r="AR298" s="11"/>
      <c r="AS298" s="11"/>
      <c r="AT298" s="11"/>
      <c r="AU298" s="11"/>
      <c r="AV298" s="11"/>
      <c r="AW298" s="20" t="str">
        <f>HYPERLINK("http://www.openstreetmap.org/?mlat=34.1729&amp;mlon=45.1355&amp;zoom=12#map=12/34.1729/45.1355","Maplink1")</f>
        <v>Maplink1</v>
      </c>
      <c r="AX298" s="20" t="str">
        <f>HYPERLINK("https://www.google.iq/maps/search/+34.1729,45.1355/@34.1729,45.1355,14z?hl=en","Maplink2")</f>
        <v>Maplink2</v>
      </c>
      <c r="AY298" s="20" t="str">
        <f>HYPERLINK("http://www.bing.com/maps/?lvl=14&amp;sty=h&amp;cp=34.1729~45.1355&amp;sp=point.34.1729_45.1355","Maplink3")</f>
        <v>Maplink3</v>
      </c>
    </row>
    <row r="299" spans="1:51" x14ac:dyDescent="0.25">
      <c r="A299" s="9">
        <v>28460</v>
      </c>
      <c r="B299" s="10" t="s">
        <v>13</v>
      </c>
      <c r="C299" s="10" t="s">
        <v>383</v>
      </c>
      <c r="D299" s="10" t="s">
        <v>790</v>
      </c>
      <c r="E299" s="10" t="s">
        <v>396</v>
      </c>
      <c r="F299" s="10">
        <v>34.288499219000002</v>
      </c>
      <c r="G299" s="10">
        <v>45.1608371883</v>
      </c>
      <c r="H299" s="10" t="s">
        <v>213</v>
      </c>
      <c r="I299" s="10" t="s">
        <v>386</v>
      </c>
      <c r="J299" s="10"/>
      <c r="K299" s="11">
        <v>1462</v>
      </c>
      <c r="L299" s="11">
        <v>8772</v>
      </c>
      <c r="M299" s="11"/>
      <c r="N299" s="11"/>
      <c r="O299" s="11"/>
      <c r="P299" s="11"/>
      <c r="Q299" s="11"/>
      <c r="R299" s="11">
        <v>1384</v>
      </c>
      <c r="S299" s="11">
        <v>9</v>
      </c>
      <c r="T299" s="11"/>
      <c r="U299" s="11">
        <v>42</v>
      </c>
      <c r="V299" s="11"/>
      <c r="W299" s="11"/>
      <c r="X299" s="11"/>
      <c r="Y299" s="11"/>
      <c r="Z299" s="11"/>
      <c r="AA299" s="11"/>
      <c r="AB299" s="11">
        <v>27</v>
      </c>
      <c r="AC299" s="11"/>
      <c r="AD299" s="11"/>
      <c r="AE299" s="11"/>
      <c r="AF299" s="11">
        <v>1362</v>
      </c>
      <c r="AG299" s="11">
        <v>25</v>
      </c>
      <c r="AH299" s="11"/>
      <c r="AI299" s="11"/>
      <c r="AJ299" s="11"/>
      <c r="AK299" s="11"/>
      <c r="AL299" s="11">
        <v>25</v>
      </c>
      <c r="AM299" s="11"/>
      <c r="AN299" s="11">
        <v>50</v>
      </c>
      <c r="AO299" s="11"/>
      <c r="AP299" s="11"/>
      <c r="AQ299" s="11">
        <v>1399</v>
      </c>
      <c r="AR299" s="11">
        <v>63</v>
      </c>
      <c r="AS299" s="11"/>
      <c r="AT299" s="11"/>
      <c r="AU299" s="11"/>
      <c r="AV299" s="11"/>
      <c r="AW299" s="20" t="str">
        <f>HYPERLINK("http://www.openstreetmap.org/?mlat=34.2885&amp;mlon=45.1608&amp;zoom=12#map=12/34.2885/45.1608","Maplink1")</f>
        <v>Maplink1</v>
      </c>
      <c r="AX299" s="20" t="str">
        <f>HYPERLINK("https://www.google.iq/maps/search/+34.2885,45.1608/@34.2885,45.1608,14z?hl=en","Maplink2")</f>
        <v>Maplink2</v>
      </c>
      <c r="AY299" s="20" t="str">
        <f>HYPERLINK("http://www.bing.com/maps/?lvl=14&amp;sty=h&amp;cp=34.2885~45.1608&amp;sp=point.34.2885_45.1608","Maplink3")</f>
        <v>Maplink3</v>
      </c>
    </row>
    <row r="300" spans="1:51" x14ac:dyDescent="0.25">
      <c r="A300" s="9">
        <v>29629</v>
      </c>
      <c r="B300" s="10" t="s">
        <v>13</v>
      </c>
      <c r="C300" s="10" t="s">
        <v>383</v>
      </c>
      <c r="D300" s="10" t="s">
        <v>1272</v>
      </c>
      <c r="E300" s="10" t="s">
        <v>1273</v>
      </c>
      <c r="F300" s="10">
        <v>34.254620000000003</v>
      </c>
      <c r="G300" s="10">
        <v>45.178559999999997</v>
      </c>
      <c r="H300" s="10" t="s">
        <v>213</v>
      </c>
      <c r="I300" s="10" t="s">
        <v>386</v>
      </c>
      <c r="J300" s="10"/>
      <c r="K300" s="11">
        <v>130</v>
      </c>
      <c r="L300" s="11">
        <v>780</v>
      </c>
      <c r="M300" s="11"/>
      <c r="N300" s="11"/>
      <c r="O300" s="11"/>
      <c r="P300" s="11"/>
      <c r="Q300" s="11"/>
      <c r="R300" s="11">
        <v>130</v>
      </c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>
        <v>130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>
        <v>130</v>
      </c>
      <c r="AR300" s="11"/>
      <c r="AS300" s="11"/>
      <c r="AT300" s="11"/>
      <c r="AU300" s="11"/>
      <c r="AV300" s="11"/>
      <c r="AW300" s="20" t="str">
        <f>HYPERLINK("http://www.openstreetmap.org/?mlat=34.2546&amp;mlon=45.1786&amp;zoom=12#map=12/34.2546/45.1786","Maplink1")</f>
        <v>Maplink1</v>
      </c>
      <c r="AX300" s="20" t="str">
        <f>HYPERLINK("https://www.google.iq/maps/search/+34.2546,45.1786/@34.2546,45.1786,14z?hl=en","Maplink2")</f>
        <v>Maplink2</v>
      </c>
      <c r="AY300" s="20" t="str">
        <f>HYPERLINK("http://www.bing.com/maps/?lvl=14&amp;sty=h&amp;cp=34.2546~45.1786&amp;sp=point.34.2546_45.1786","Maplink3")</f>
        <v>Maplink3</v>
      </c>
    </row>
    <row r="301" spans="1:51" x14ac:dyDescent="0.25">
      <c r="A301" s="9">
        <v>29630</v>
      </c>
      <c r="B301" s="10" t="s">
        <v>13</v>
      </c>
      <c r="C301" s="10" t="s">
        <v>383</v>
      </c>
      <c r="D301" s="10" t="s">
        <v>1274</v>
      </c>
      <c r="E301" s="10" t="s">
        <v>1275</v>
      </c>
      <c r="F301" s="10">
        <v>34.224649999999997</v>
      </c>
      <c r="G301" s="10">
        <v>45.130890000000001</v>
      </c>
      <c r="H301" s="10" t="s">
        <v>213</v>
      </c>
      <c r="I301" s="10" t="s">
        <v>386</v>
      </c>
      <c r="J301" s="10"/>
      <c r="K301" s="11">
        <v>196</v>
      </c>
      <c r="L301" s="11">
        <v>1176</v>
      </c>
      <c r="M301" s="11"/>
      <c r="N301" s="11"/>
      <c r="O301" s="11"/>
      <c r="P301" s="11"/>
      <c r="Q301" s="11"/>
      <c r="R301" s="11">
        <v>170</v>
      </c>
      <c r="S301" s="11"/>
      <c r="T301" s="11"/>
      <c r="U301" s="11"/>
      <c r="V301" s="11"/>
      <c r="W301" s="11"/>
      <c r="X301" s="11"/>
      <c r="Y301" s="11"/>
      <c r="Z301" s="11"/>
      <c r="AA301" s="11"/>
      <c r="AB301" s="11">
        <v>26</v>
      </c>
      <c r="AC301" s="11"/>
      <c r="AD301" s="11"/>
      <c r="AE301" s="11"/>
      <c r="AF301" s="11">
        <v>196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>
        <v>196</v>
      </c>
      <c r="AR301" s="11"/>
      <c r="AS301" s="11"/>
      <c r="AT301" s="11"/>
      <c r="AU301" s="11"/>
      <c r="AV301" s="11"/>
      <c r="AW301" s="20" t="str">
        <f>HYPERLINK("http://www.openstreetmap.org/?mlat=34.2246&amp;mlon=45.1309&amp;zoom=12#map=12/34.2246/45.1309","Maplink1")</f>
        <v>Maplink1</v>
      </c>
      <c r="AX301" s="20" t="str">
        <f>HYPERLINK("https://www.google.iq/maps/search/+34.2246,45.1309/@34.2246,45.1309,14z?hl=en","Maplink2")</f>
        <v>Maplink2</v>
      </c>
      <c r="AY301" s="20" t="str">
        <f>HYPERLINK("http://www.bing.com/maps/?lvl=14&amp;sty=h&amp;cp=34.2246~45.1309&amp;sp=point.34.2246_45.1309","Maplink3")</f>
        <v>Maplink3</v>
      </c>
    </row>
    <row r="302" spans="1:51" x14ac:dyDescent="0.25">
      <c r="A302" s="9">
        <v>29520</v>
      </c>
      <c r="B302" s="10" t="s">
        <v>13</v>
      </c>
      <c r="C302" s="10" t="s">
        <v>383</v>
      </c>
      <c r="D302" s="10" t="s">
        <v>791</v>
      </c>
      <c r="E302" s="10" t="s">
        <v>398</v>
      </c>
      <c r="F302" s="10">
        <v>34.189599369</v>
      </c>
      <c r="G302" s="10">
        <v>45.116669375000001</v>
      </c>
      <c r="H302" s="10" t="s">
        <v>213</v>
      </c>
      <c r="I302" s="10" t="s">
        <v>386</v>
      </c>
      <c r="J302" s="10"/>
      <c r="K302" s="11">
        <v>70</v>
      </c>
      <c r="L302" s="11">
        <v>420</v>
      </c>
      <c r="M302" s="11"/>
      <c r="N302" s="11"/>
      <c r="O302" s="11"/>
      <c r="P302" s="11"/>
      <c r="Q302" s="11"/>
      <c r="R302" s="11">
        <v>65</v>
      </c>
      <c r="S302" s="11"/>
      <c r="T302" s="11"/>
      <c r="U302" s="11">
        <v>5</v>
      </c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>
        <v>70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>
        <v>70</v>
      </c>
      <c r="AR302" s="11"/>
      <c r="AS302" s="11"/>
      <c r="AT302" s="11"/>
      <c r="AU302" s="11"/>
      <c r="AV302" s="11"/>
      <c r="AW302" s="20" t="str">
        <f>HYPERLINK("http://www.openstreetmap.org/?mlat=34.1896&amp;mlon=45.1167&amp;zoom=12#map=12/34.1896/45.1167","Maplink1")</f>
        <v>Maplink1</v>
      </c>
      <c r="AX302" s="20" t="str">
        <f>HYPERLINK("https://www.google.iq/maps/search/+34.1896,45.1167/@34.1896,45.1167,14z?hl=en","Maplink2")</f>
        <v>Maplink2</v>
      </c>
      <c r="AY302" s="20" t="str">
        <f>HYPERLINK("http://www.bing.com/maps/?lvl=14&amp;sty=h&amp;cp=34.1896~45.1167&amp;sp=point.34.1896_45.1167","Maplink3")</f>
        <v>Maplink3</v>
      </c>
    </row>
    <row r="303" spans="1:51" x14ac:dyDescent="0.25">
      <c r="A303" s="9">
        <v>10747</v>
      </c>
      <c r="B303" s="10" t="s">
        <v>13</v>
      </c>
      <c r="C303" s="10" t="s">
        <v>383</v>
      </c>
      <c r="D303" s="10" t="s">
        <v>399</v>
      </c>
      <c r="E303" s="10" t="s">
        <v>400</v>
      </c>
      <c r="F303" s="10">
        <v>34.283150000200003</v>
      </c>
      <c r="G303" s="10">
        <v>45.172660999100003</v>
      </c>
      <c r="H303" s="10" t="s">
        <v>213</v>
      </c>
      <c r="I303" s="10" t="s">
        <v>386</v>
      </c>
      <c r="J303" s="10" t="s">
        <v>401</v>
      </c>
      <c r="K303" s="11">
        <v>45</v>
      </c>
      <c r="L303" s="11">
        <v>270</v>
      </c>
      <c r="M303" s="11"/>
      <c r="N303" s="11"/>
      <c r="O303" s="11"/>
      <c r="P303" s="11"/>
      <c r="Q303" s="11"/>
      <c r="R303" s="11">
        <v>45</v>
      </c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>
        <v>40</v>
      </c>
      <c r="AG303" s="11">
        <v>5</v>
      </c>
      <c r="AH303" s="11"/>
      <c r="AI303" s="11"/>
      <c r="AJ303" s="11"/>
      <c r="AK303" s="11"/>
      <c r="AL303" s="11"/>
      <c r="AM303" s="11"/>
      <c r="AN303" s="11"/>
      <c r="AO303" s="11"/>
      <c r="AP303" s="11"/>
      <c r="AQ303" s="11">
        <v>45</v>
      </c>
      <c r="AR303" s="11"/>
      <c r="AS303" s="11"/>
      <c r="AT303" s="11"/>
      <c r="AU303" s="11"/>
      <c r="AV303" s="11"/>
      <c r="AW303" s="20" t="str">
        <f>HYPERLINK("http://www.openstreetmap.org/?mlat=34.2832&amp;mlon=45.1727&amp;zoom=12#map=12/34.2832/45.1727","Maplink1")</f>
        <v>Maplink1</v>
      </c>
      <c r="AX303" s="20" t="str">
        <f>HYPERLINK("https://www.google.iq/maps/search/+34.2832,45.1727/@34.2832,45.1727,14z?hl=en","Maplink2")</f>
        <v>Maplink2</v>
      </c>
      <c r="AY303" s="20" t="str">
        <f>HYPERLINK("http://www.bing.com/maps/?lvl=14&amp;sty=h&amp;cp=34.2832~45.1727&amp;sp=point.34.2832_45.1727","Maplink3")</f>
        <v>Maplink3</v>
      </c>
    </row>
    <row r="304" spans="1:51" x14ac:dyDescent="0.25">
      <c r="A304" s="9">
        <v>27390</v>
      </c>
      <c r="B304" s="10" t="s">
        <v>13</v>
      </c>
      <c r="C304" s="10" t="s">
        <v>383</v>
      </c>
      <c r="D304" s="10" t="s">
        <v>402</v>
      </c>
      <c r="E304" s="10" t="s">
        <v>403</v>
      </c>
      <c r="F304" s="10">
        <v>34.2820168728</v>
      </c>
      <c r="G304" s="10">
        <v>45.168281989900002</v>
      </c>
      <c r="H304" s="10" t="s">
        <v>213</v>
      </c>
      <c r="I304" s="10" t="s">
        <v>386</v>
      </c>
      <c r="J304" s="10"/>
      <c r="K304" s="11">
        <v>40</v>
      </c>
      <c r="L304" s="11">
        <v>240</v>
      </c>
      <c r="M304" s="11"/>
      <c r="N304" s="11"/>
      <c r="O304" s="11"/>
      <c r="P304" s="11"/>
      <c r="Q304" s="11"/>
      <c r="R304" s="11">
        <v>40</v>
      </c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>
        <v>40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>
        <v>40</v>
      </c>
      <c r="AR304" s="11"/>
      <c r="AS304" s="11"/>
      <c r="AT304" s="11"/>
      <c r="AU304" s="11"/>
      <c r="AV304" s="11"/>
      <c r="AW304" s="20" t="str">
        <f>HYPERLINK("http://www.openstreetmap.org/?mlat=34.282&amp;mlon=45.1683&amp;zoom=12#map=12/34.282/45.1683","Maplink1")</f>
        <v>Maplink1</v>
      </c>
      <c r="AX304" s="20" t="str">
        <f>HYPERLINK("https://www.google.iq/maps/search/+34.282,45.1683/@34.282,45.1683,14z?hl=en","Maplink2")</f>
        <v>Maplink2</v>
      </c>
      <c r="AY304" s="20" t="str">
        <f>HYPERLINK("http://www.bing.com/maps/?lvl=14&amp;sty=h&amp;cp=34.282~45.1683&amp;sp=point.34.282_45.1683","Maplink3")</f>
        <v>Maplink3</v>
      </c>
    </row>
    <row r="305" spans="1:51" x14ac:dyDescent="0.25">
      <c r="A305" s="9">
        <v>25703</v>
      </c>
      <c r="B305" s="10" t="s">
        <v>13</v>
      </c>
      <c r="C305" s="10" t="s">
        <v>404</v>
      </c>
      <c r="D305" s="10" t="s">
        <v>1117</v>
      </c>
      <c r="E305" s="10" t="s">
        <v>405</v>
      </c>
      <c r="F305" s="10">
        <v>34.418887468000001</v>
      </c>
      <c r="G305" s="10">
        <v>44.940770356400002</v>
      </c>
      <c r="H305" s="10" t="s">
        <v>213</v>
      </c>
      <c r="I305" s="10" t="s">
        <v>406</v>
      </c>
      <c r="J305" s="10"/>
      <c r="K305" s="11">
        <v>200</v>
      </c>
      <c r="L305" s="11">
        <v>1200</v>
      </c>
      <c r="M305" s="11"/>
      <c r="N305" s="11"/>
      <c r="O305" s="11"/>
      <c r="P305" s="11"/>
      <c r="Q305" s="11"/>
      <c r="R305" s="11">
        <v>200</v>
      </c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>
        <v>200</v>
      </c>
      <c r="AO305" s="11"/>
      <c r="AP305" s="11"/>
      <c r="AQ305" s="11"/>
      <c r="AR305" s="11"/>
      <c r="AS305" s="11">
        <v>200</v>
      </c>
      <c r="AT305" s="11"/>
      <c r="AU305" s="11"/>
      <c r="AV305" s="11"/>
      <c r="AW305" s="20" t="str">
        <f>HYPERLINK("http://www.openstreetmap.org/?mlat=34.4189&amp;mlon=44.9408&amp;zoom=12#map=12/34.4189/44.9408","Maplink1")</f>
        <v>Maplink1</v>
      </c>
      <c r="AX305" s="20" t="str">
        <f>HYPERLINK("https://www.google.iq/maps/search/+34.4189,44.9408/@34.4189,44.9408,14z?hl=en","Maplink2")</f>
        <v>Maplink2</v>
      </c>
      <c r="AY305" s="20" t="str">
        <f>HYPERLINK("http://www.bing.com/maps/?lvl=14&amp;sty=h&amp;cp=34.4189~44.9408&amp;sp=point.34.4189_44.9408","Maplink3")</f>
        <v>Maplink3</v>
      </c>
    </row>
    <row r="306" spans="1:51" x14ac:dyDescent="0.25">
      <c r="A306" s="9">
        <v>11912</v>
      </c>
      <c r="B306" s="10" t="s">
        <v>14</v>
      </c>
      <c r="C306" s="10" t="s">
        <v>407</v>
      </c>
      <c r="D306" s="10" t="s">
        <v>1118</v>
      </c>
      <c r="E306" s="10" t="s">
        <v>1119</v>
      </c>
      <c r="F306" s="10">
        <v>36.0884</v>
      </c>
      <c r="G306" s="10">
        <v>43.538359999999997</v>
      </c>
      <c r="H306" s="10" t="s">
        <v>410</v>
      </c>
      <c r="I306" s="10" t="s">
        <v>411</v>
      </c>
      <c r="J306" s="10" t="s">
        <v>1120</v>
      </c>
      <c r="K306" s="11">
        <v>700</v>
      </c>
      <c r="L306" s="11">
        <v>4200</v>
      </c>
      <c r="M306" s="11"/>
      <c r="N306" s="11"/>
      <c r="O306" s="11"/>
      <c r="P306" s="11"/>
      <c r="Q306" s="11"/>
      <c r="R306" s="11"/>
      <c r="S306" s="11">
        <v>700</v>
      </c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>
        <v>700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700</v>
      </c>
      <c r="AS306" s="11"/>
      <c r="AT306" s="11"/>
      <c r="AU306" s="11"/>
      <c r="AV306" s="11"/>
      <c r="AW306" s="20" t="str">
        <f>HYPERLINK("http://www.openstreetmap.org/?mlat=36.0884&amp;mlon=43.5384&amp;zoom=12#map=12/36.0884/43.5384","Maplink1")</f>
        <v>Maplink1</v>
      </c>
      <c r="AX306" s="20" t="str">
        <f>HYPERLINK("https://www.google.iq/maps/search/+36.0884,43.5384/@36.0884,43.5384,14z?hl=en","Maplink2")</f>
        <v>Maplink2</v>
      </c>
      <c r="AY306" s="20" t="str">
        <f>HYPERLINK("http://www.bing.com/maps/?lvl=14&amp;sty=h&amp;cp=36.0884~43.5384&amp;sp=point.36.0884_43.5384","Maplink3")</f>
        <v>Maplink3</v>
      </c>
    </row>
    <row r="307" spans="1:51" x14ac:dyDescent="0.25">
      <c r="A307" s="9">
        <v>29522</v>
      </c>
      <c r="B307" s="10" t="s">
        <v>14</v>
      </c>
      <c r="C307" s="10" t="s">
        <v>407</v>
      </c>
      <c r="D307" s="10" t="s">
        <v>408</v>
      </c>
      <c r="E307" s="10" t="s">
        <v>409</v>
      </c>
      <c r="F307" s="10">
        <v>35.7805082</v>
      </c>
      <c r="G307" s="10">
        <v>43.594056129999998</v>
      </c>
      <c r="H307" s="10" t="s">
        <v>410</v>
      </c>
      <c r="I307" s="10" t="s">
        <v>411</v>
      </c>
      <c r="J307" s="10"/>
      <c r="K307" s="11">
        <v>60</v>
      </c>
      <c r="L307" s="11">
        <v>360</v>
      </c>
      <c r="M307" s="11"/>
      <c r="N307" s="11"/>
      <c r="O307" s="11"/>
      <c r="P307" s="11"/>
      <c r="Q307" s="11"/>
      <c r="R307" s="11"/>
      <c r="S307" s="11">
        <v>60</v>
      </c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>
        <v>60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>
        <v>60</v>
      </c>
      <c r="AS307" s="11"/>
      <c r="AT307" s="11"/>
      <c r="AU307" s="11"/>
      <c r="AV307" s="11"/>
      <c r="AW307" s="20" t="str">
        <f>HYPERLINK("http://www.openstreetmap.org/?mlat=35.7805&amp;mlon=43.5941&amp;zoom=12#map=12/35.7805/43.5941","Maplink1")</f>
        <v>Maplink1</v>
      </c>
      <c r="AX307" s="20" t="str">
        <f>HYPERLINK("https://www.google.iq/maps/search/+35.7805,43.5941/@35.7805,43.5941,14z?hl=en","Maplink2")</f>
        <v>Maplink2</v>
      </c>
      <c r="AY307" s="20" t="str">
        <f>HYPERLINK("http://www.bing.com/maps/?lvl=14&amp;sty=h&amp;cp=35.7805~43.5941&amp;sp=point.35.7805_43.5941","Maplink3")</f>
        <v>Maplink3</v>
      </c>
    </row>
    <row r="308" spans="1:51" x14ac:dyDescent="0.25">
      <c r="A308" s="9">
        <v>13500</v>
      </c>
      <c r="B308" s="10" t="s">
        <v>14</v>
      </c>
      <c r="C308" s="10" t="s">
        <v>407</v>
      </c>
      <c r="D308" s="10" t="s">
        <v>412</v>
      </c>
      <c r="E308" s="10" t="s">
        <v>413</v>
      </c>
      <c r="F308" s="10">
        <v>35.776267099999998</v>
      </c>
      <c r="G308" s="10">
        <v>43.582733640000001</v>
      </c>
      <c r="H308" s="10" t="s">
        <v>410</v>
      </c>
      <c r="I308" s="10" t="s">
        <v>411</v>
      </c>
      <c r="J308" s="10" t="s">
        <v>414</v>
      </c>
      <c r="K308" s="11">
        <v>250</v>
      </c>
      <c r="L308" s="11">
        <v>1500</v>
      </c>
      <c r="M308" s="11"/>
      <c r="N308" s="11"/>
      <c r="O308" s="11"/>
      <c r="P308" s="11"/>
      <c r="Q308" s="11"/>
      <c r="R308" s="11"/>
      <c r="S308" s="11">
        <v>250</v>
      </c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>
        <v>250</v>
      </c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>
        <v>250</v>
      </c>
      <c r="AS308" s="11"/>
      <c r="AT308" s="11"/>
      <c r="AU308" s="11"/>
      <c r="AV308" s="11"/>
      <c r="AW308" s="20" t="str">
        <f>HYPERLINK("http://www.openstreetmap.org/?mlat=35.7763&amp;mlon=43.5827&amp;zoom=12#map=12/35.7763/43.5827","Maplink1")</f>
        <v>Maplink1</v>
      </c>
      <c r="AX308" s="20" t="str">
        <f>HYPERLINK("https://www.google.iq/maps/search/+35.7763,43.5827/@35.7763,43.5827,14z?hl=en","Maplink2")</f>
        <v>Maplink2</v>
      </c>
      <c r="AY308" s="20" t="str">
        <f>HYPERLINK("http://www.bing.com/maps/?lvl=14&amp;sty=h&amp;cp=35.7763~43.5827&amp;sp=point.35.7763_43.5827","Maplink3")</f>
        <v>Maplink3</v>
      </c>
    </row>
    <row r="309" spans="1:51" x14ac:dyDescent="0.25">
      <c r="A309" s="9">
        <v>13502</v>
      </c>
      <c r="B309" s="10" t="s">
        <v>14</v>
      </c>
      <c r="C309" s="10" t="s">
        <v>407</v>
      </c>
      <c r="D309" s="10" t="s">
        <v>415</v>
      </c>
      <c r="E309" s="10" t="s">
        <v>416</v>
      </c>
      <c r="F309" s="10">
        <v>35.7759</v>
      </c>
      <c r="G309" s="10">
        <v>43.572600000000001</v>
      </c>
      <c r="H309" s="10" t="s">
        <v>410</v>
      </c>
      <c r="I309" s="10" t="s">
        <v>411</v>
      </c>
      <c r="J309" s="10" t="s">
        <v>417</v>
      </c>
      <c r="K309" s="11">
        <v>237</v>
      </c>
      <c r="L309" s="11">
        <v>1422</v>
      </c>
      <c r="M309" s="11"/>
      <c r="N309" s="11"/>
      <c r="O309" s="11"/>
      <c r="P309" s="11"/>
      <c r="Q309" s="11"/>
      <c r="R309" s="11"/>
      <c r="S309" s="11">
        <v>237</v>
      </c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>
        <v>237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>
        <v>237</v>
      </c>
      <c r="AS309" s="11"/>
      <c r="AT309" s="11"/>
      <c r="AU309" s="11"/>
      <c r="AV309" s="11"/>
      <c r="AW309" s="20" t="str">
        <f>HYPERLINK("http://www.openstreetmap.org/?mlat=35.7759&amp;mlon=43.5726&amp;zoom=12#map=12/35.7759/43.5726","Maplink1")</f>
        <v>Maplink1</v>
      </c>
      <c r="AX309" s="20" t="str">
        <f>HYPERLINK("https://www.google.iq/maps/search/+35.7759,43.5726/@35.7759,43.5726,14z?hl=en","Maplink2")</f>
        <v>Maplink2</v>
      </c>
      <c r="AY309" s="20" t="str">
        <f>HYPERLINK("http://www.bing.com/maps/?lvl=14&amp;sty=h&amp;cp=35.7759~43.5726&amp;sp=point.35.7759_43.5726","Maplink3")</f>
        <v>Maplink3</v>
      </c>
    </row>
    <row r="310" spans="1:51" x14ac:dyDescent="0.25">
      <c r="A310" s="9">
        <v>13361</v>
      </c>
      <c r="B310" s="10" t="s">
        <v>14</v>
      </c>
      <c r="C310" s="10" t="s">
        <v>407</v>
      </c>
      <c r="D310" s="10" t="s">
        <v>1331</v>
      </c>
      <c r="E310" s="10" t="s">
        <v>1332</v>
      </c>
      <c r="F310" s="10">
        <v>36.059150000000002</v>
      </c>
      <c r="G310" s="10">
        <v>43.507510000000003</v>
      </c>
      <c r="H310" s="10" t="s">
        <v>410</v>
      </c>
      <c r="I310" s="10" t="s">
        <v>411</v>
      </c>
      <c r="J310" s="10" t="s">
        <v>1333</v>
      </c>
      <c r="K310" s="11">
        <v>150</v>
      </c>
      <c r="L310" s="11">
        <v>900</v>
      </c>
      <c r="M310" s="11"/>
      <c r="N310" s="11"/>
      <c r="O310" s="11"/>
      <c r="P310" s="11"/>
      <c r="Q310" s="11"/>
      <c r="R310" s="11"/>
      <c r="S310" s="11">
        <v>150</v>
      </c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>
        <v>150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>
        <v>150</v>
      </c>
      <c r="AS310" s="11"/>
      <c r="AT310" s="11"/>
      <c r="AU310" s="11"/>
      <c r="AV310" s="11"/>
      <c r="AW310" s="20" t="str">
        <f>HYPERLINK("http://www.openstreetmap.org/?mlat=36.0592&amp;mlon=43.5075&amp;zoom=12#map=12/36.0592/43.5075","Maplink1")</f>
        <v>Maplink1</v>
      </c>
      <c r="AX310" s="20" t="str">
        <f>HYPERLINK("https://www.google.iq/maps/search/+36.0592,43.5075/@36.0592,43.5075,14z?hl=en","Maplink2")</f>
        <v>Maplink2</v>
      </c>
      <c r="AY310" s="20" t="str">
        <f>HYPERLINK("http://www.bing.com/maps/?lvl=14&amp;sty=h&amp;cp=36.0592~43.5075&amp;sp=point.36.0592_43.5075","Maplink3")</f>
        <v>Maplink3</v>
      </c>
    </row>
    <row r="311" spans="1:51" x14ac:dyDescent="0.25">
      <c r="A311" s="9">
        <v>13501</v>
      </c>
      <c r="B311" s="10" t="s">
        <v>14</v>
      </c>
      <c r="C311" s="10" t="s">
        <v>407</v>
      </c>
      <c r="D311" s="10" t="s">
        <v>418</v>
      </c>
      <c r="E311" s="10" t="s">
        <v>419</v>
      </c>
      <c r="F311" s="10">
        <v>35.767000000000003</v>
      </c>
      <c r="G311" s="10">
        <v>43.573700000000002</v>
      </c>
      <c r="H311" s="10" t="s">
        <v>410</v>
      </c>
      <c r="I311" s="10" t="s">
        <v>411</v>
      </c>
      <c r="J311" s="10" t="s">
        <v>420</v>
      </c>
      <c r="K311" s="11">
        <v>280</v>
      </c>
      <c r="L311" s="11">
        <v>1680</v>
      </c>
      <c r="M311" s="11"/>
      <c r="N311" s="11"/>
      <c r="O311" s="11"/>
      <c r="P311" s="11"/>
      <c r="Q311" s="11"/>
      <c r="R311" s="11"/>
      <c r="S311" s="11">
        <v>280</v>
      </c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>
        <v>280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v>280</v>
      </c>
      <c r="AS311" s="11"/>
      <c r="AT311" s="11"/>
      <c r="AU311" s="11"/>
      <c r="AV311" s="11"/>
      <c r="AW311" s="20" t="str">
        <f>HYPERLINK("http://www.openstreetmap.org/?mlat=35.767&amp;mlon=43.5737&amp;zoom=12#map=12/35.767/43.5737","Maplink1")</f>
        <v>Maplink1</v>
      </c>
      <c r="AX311" s="20" t="str">
        <f>HYPERLINK("https://www.google.iq/maps/search/+35.767,43.5737/@35.767,43.5737,14z?hl=en","Maplink2")</f>
        <v>Maplink2</v>
      </c>
      <c r="AY311" s="20" t="str">
        <f>HYPERLINK("http://www.bing.com/maps/?lvl=14&amp;sty=h&amp;cp=35.767~43.5737&amp;sp=point.35.767_43.5737","Maplink3")</f>
        <v>Maplink3</v>
      </c>
    </row>
    <row r="312" spans="1:51" x14ac:dyDescent="0.25">
      <c r="A312" s="9">
        <v>13352</v>
      </c>
      <c r="B312" s="10" t="s">
        <v>14</v>
      </c>
      <c r="C312" s="10" t="s">
        <v>407</v>
      </c>
      <c r="D312" s="10" t="s">
        <v>1334</v>
      </c>
      <c r="E312" s="10" t="s">
        <v>1335</v>
      </c>
      <c r="F312" s="10">
        <v>36.024520000000003</v>
      </c>
      <c r="G312" s="10">
        <v>43.295769999999997</v>
      </c>
      <c r="H312" s="10" t="s">
        <v>410</v>
      </c>
      <c r="I312" s="10" t="s">
        <v>411</v>
      </c>
      <c r="J312" s="10" t="s">
        <v>1336</v>
      </c>
      <c r="K312" s="11">
        <v>180</v>
      </c>
      <c r="L312" s="11">
        <v>1080</v>
      </c>
      <c r="M312" s="11"/>
      <c r="N312" s="11"/>
      <c r="O312" s="11"/>
      <c r="P312" s="11"/>
      <c r="Q312" s="11"/>
      <c r="R312" s="11"/>
      <c r="S312" s="11">
        <v>180</v>
      </c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>
        <v>180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>
        <v>180</v>
      </c>
      <c r="AS312" s="11"/>
      <c r="AT312" s="11"/>
      <c r="AU312" s="11"/>
      <c r="AV312" s="11"/>
      <c r="AW312" s="20" t="str">
        <f>HYPERLINK("http://www.openstreetmap.org/?mlat=36.0245&amp;mlon=43.2958&amp;zoom=12#map=12/36.0245/43.2958","Maplink1")</f>
        <v>Maplink1</v>
      </c>
      <c r="AX312" s="20" t="str">
        <f>HYPERLINK("https://www.google.iq/maps/search/+36.0245,43.2958/@36.0245,43.2958,14z?hl=en","Maplink2")</f>
        <v>Maplink2</v>
      </c>
      <c r="AY312" s="20" t="str">
        <f>HYPERLINK("http://www.bing.com/maps/?lvl=14&amp;sty=h&amp;cp=36.0245~43.2958&amp;sp=point.36.0245_43.2958","Maplink3")</f>
        <v>Maplink3</v>
      </c>
    </row>
    <row r="313" spans="1:51" x14ac:dyDescent="0.25">
      <c r="A313" s="9">
        <v>22976</v>
      </c>
      <c r="B313" s="10" t="s">
        <v>14</v>
      </c>
      <c r="C313" s="10" t="s">
        <v>407</v>
      </c>
      <c r="D313" s="10" t="s">
        <v>421</v>
      </c>
      <c r="E313" s="10" t="s">
        <v>422</v>
      </c>
      <c r="F313" s="10">
        <v>35.777312700000003</v>
      </c>
      <c r="G313" s="10">
        <v>43.57313731</v>
      </c>
      <c r="H313" s="10" t="s">
        <v>410</v>
      </c>
      <c r="I313" s="10" t="s">
        <v>411</v>
      </c>
      <c r="J313" s="10" t="s">
        <v>423</v>
      </c>
      <c r="K313" s="11">
        <v>371</v>
      </c>
      <c r="L313" s="11">
        <v>2226</v>
      </c>
      <c r="M313" s="11"/>
      <c r="N313" s="11"/>
      <c r="O313" s="11"/>
      <c r="P313" s="11"/>
      <c r="Q313" s="11"/>
      <c r="R313" s="11"/>
      <c r="S313" s="11">
        <v>371</v>
      </c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>
        <v>371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>
        <v>371</v>
      </c>
      <c r="AS313" s="11"/>
      <c r="AT313" s="11"/>
      <c r="AU313" s="11"/>
      <c r="AV313" s="11"/>
      <c r="AW313" s="20" t="str">
        <f>HYPERLINK("http://www.openstreetmap.org/?mlat=35.7773&amp;mlon=43.5731&amp;zoom=12#map=12/35.7773/43.5731","Maplink1")</f>
        <v>Maplink1</v>
      </c>
      <c r="AX313" s="20" t="str">
        <f>HYPERLINK("https://www.google.iq/maps/search/+35.7773,43.5731/@35.7773,43.5731,14z?hl=en","Maplink2")</f>
        <v>Maplink2</v>
      </c>
      <c r="AY313" s="20" t="str">
        <f>HYPERLINK("http://www.bing.com/maps/?lvl=14&amp;sty=h&amp;cp=35.7773~43.5731&amp;sp=point.35.7773_43.5731","Maplink3")</f>
        <v>Maplink3</v>
      </c>
    </row>
    <row r="314" spans="1:51" x14ac:dyDescent="0.25">
      <c r="A314" s="9">
        <v>27244</v>
      </c>
      <c r="B314" s="10" t="s">
        <v>14</v>
      </c>
      <c r="C314" s="10" t="s">
        <v>407</v>
      </c>
      <c r="D314" s="10" t="s">
        <v>424</v>
      </c>
      <c r="E314" s="10" t="s">
        <v>1428</v>
      </c>
      <c r="F314" s="10">
        <v>35.776499999999999</v>
      </c>
      <c r="G314" s="10">
        <v>43.578000000000003</v>
      </c>
      <c r="H314" s="10" t="s">
        <v>410</v>
      </c>
      <c r="I314" s="10" t="s">
        <v>411</v>
      </c>
      <c r="J314" s="10"/>
      <c r="K314" s="11">
        <v>213</v>
      </c>
      <c r="L314" s="11">
        <v>1278</v>
      </c>
      <c r="M314" s="11"/>
      <c r="N314" s="11"/>
      <c r="O314" s="11"/>
      <c r="P314" s="11"/>
      <c r="Q314" s="11"/>
      <c r="R314" s="11"/>
      <c r="S314" s="11">
        <v>213</v>
      </c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>
        <v>213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>
        <v>213</v>
      </c>
      <c r="AS314" s="11"/>
      <c r="AT314" s="11"/>
      <c r="AU314" s="11"/>
      <c r="AV314" s="11"/>
      <c r="AW314" s="20" t="str">
        <f>HYPERLINK("http://www.openstreetmap.org/?mlat=35.7765&amp;mlon=43.578&amp;zoom=12#map=12/35.7765/43.578","Maplink1")</f>
        <v>Maplink1</v>
      </c>
      <c r="AX314" s="20" t="str">
        <f>HYPERLINK("https://www.google.iq/maps/search/+35.7765,43.578/@35.7765,43.578,14z?hl=en","Maplink2")</f>
        <v>Maplink2</v>
      </c>
      <c r="AY314" s="20" t="str">
        <f>HYPERLINK("http://www.bing.com/maps/?lvl=14&amp;sty=h&amp;cp=35.7765~43.578&amp;sp=point.35.7765_43.578","Maplink3")</f>
        <v>Maplink3</v>
      </c>
    </row>
    <row r="315" spans="1:51" x14ac:dyDescent="0.25">
      <c r="A315" s="9">
        <v>13674</v>
      </c>
      <c r="B315" s="10" t="s">
        <v>14</v>
      </c>
      <c r="C315" s="10" t="s">
        <v>407</v>
      </c>
      <c r="D315" s="10" t="s">
        <v>425</v>
      </c>
      <c r="E315" s="10" t="s">
        <v>426</v>
      </c>
      <c r="F315" s="10">
        <v>35.772500000000001</v>
      </c>
      <c r="G315" s="10">
        <v>43.584000000000003</v>
      </c>
      <c r="H315" s="10" t="s">
        <v>410</v>
      </c>
      <c r="I315" s="10" t="s">
        <v>411</v>
      </c>
      <c r="J315" s="10" t="s">
        <v>427</v>
      </c>
      <c r="K315" s="11">
        <v>500</v>
      </c>
      <c r="L315" s="11">
        <v>3000</v>
      </c>
      <c r="M315" s="11"/>
      <c r="N315" s="11"/>
      <c r="O315" s="11"/>
      <c r="P315" s="11"/>
      <c r="Q315" s="11"/>
      <c r="R315" s="11"/>
      <c r="S315" s="11">
        <v>500</v>
      </c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>
        <v>500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>
        <v>500</v>
      </c>
      <c r="AS315" s="11"/>
      <c r="AT315" s="11"/>
      <c r="AU315" s="11"/>
      <c r="AV315" s="11"/>
      <c r="AW315" s="20" t="str">
        <f>HYPERLINK("http://www.openstreetmap.org/?mlat=35.7725&amp;mlon=43.584&amp;zoom=12#map=12/35.7725/43.584","Maplink1")</f>
        <v>Maplink1</v>
      </c>
      <c r="AX315" s="20" t="str">
        <f>HYPERLINK("https://www.google.iq/maps/search/+35.7725,43.584/@35.7725,43.584,14z?hl=en","Maplink2")</f>
        <v>Maplink2</v>
      </c>
      <c r="AY315" s="20" t="str">
        <f>HYPERLINK("http://www.bing.com/maps/?lvl=14&amp;sty=h&amp;cp=35.7725~43.584&amp;sp=point.35.7725_43.584","Maplink3")</f>
        <v>Maplink3</v>
      </c>
    </row>
    <row r="316" spans="1:51" x14ac:dyDescent="0.25">
      <c r="A316" s="9">
        <v>13675</v>
      </c>
      <c r="B316" s="10" t="s">
        <v>14</v>
      </c>
      <c r="C316" s="10" t="s">
        <v>407</v>
      </c>
      <c r="D316" s="10" t="s">
        <v>428</v>
      </c>
      <c r="E316" s="10" t="s">
        <v>429</v>
      </c>
      <c r="F316" s="10">
        <v>35.775642900000001</v>
      </c>
      <c r="G316" s="10">
        <v>43.580938779999997</v>
      </c>
      <c r="H316" s="10" t="s">
        <v>410</v>
      </c>
      <c r="I316" s="10" t="s">
        <v>411</v>
      </c>
      <c r="J316" s="10" t="s">
        <v>430</v>
      </c>
      <c r="K316" s="11">
        <v>660</v>
      </c>
      <c r="L316" s="11">
        <v>3960</v>
      </c>
      <c r="M316" s="11"/>
      <c r="N316" s="11"/>
      <c r="O316" s="11"/>
      <c r="P316" s="11"/>
      <c r="Q316" s="11"/>
      <c r="R316" s="11"/>
      <c r="S316" s="11">
        <v>660</v>
      </c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>
        <v>660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>
        <v>660</v>
      </c>
      <c r="AS316" s="11"/>
      <c r="AT316" s="11"/>
      <c r="AU316" s="11"/>
      <c r="AV316" s="11"/>
      <c r="AW316" s="20" t="str">
        <f>HYPERLINK("http://www.openstreetmap.org/?mlat=35.7756&amp;mlon=43.5809&amp;zoom=12#map=12/35.7756/43.5809","Maplink1")</f>
        <v>Maplink1</v>
      </c>
      <c r="AX316" s="20" t="str">
        <f>HYPERLINK("https://www.google.iq/maps/search/+35.7756,43.5809/@35.7756,43.5809,14z?hl=en","Maplink2")</f>
        <v>Maplink2</v>
      </c>
      <c r="AY316" s="20" t="str">
        <f>HYPERLINK("http://www.bing.com/maps/?lvl=14&amp;sty=h&amp;cp=35.7756~43.5809&amp;sp=point.35.7756_43.5809","Maplink3")</f>
        <v>Maplink3</v>
      </c>
    </row>
    <row r="317" spans="1:51" x14ac:dyDescent="0.25">
      <c r="A317" s="9">
        <v>15173</v>
      </c>
      <c r="B317" s="10" t="s">
        <v>16</v>
      </c>
      <c r="C317" s="10" t="s">
        <v>1121</v>
      </c>
      <c r="D317" s="10" t="s">
        <v>1122</v>
      </c>
      <c r="E317" s="10" t="s">
        <v>1123</v>
      </c>
      <c r="F317" s="10">
        <v>35.243198999999997</v>
      </c>
      <c r="G317" s="10">
        <v>44.279586999999999</v>
      </c>
      <c r="H317" s="10" t="s">
        <v>432</v>
      </c>
      <c r="I317" s="10" t="s">
        <v>1124</v>
      </c>
      <c r="J317" s="10" t="s">
        <v>1125</v>
      </c>
      <c r="K317" s="11">
        <v>80</v>
      </c>
      <c r="L317" s="11">
        <v>480</v>
      </c>
      <c r="M317" s="11"/>
      <c r="N317" s="11"/>
      <c r="O317" s="11"/>
      <c r="P317" s="11"/>
      <c r="Q317" s="11"/>
      <c r="R317" s="11"/>
      <c r="S317" s="11"/>
      <c r="T317" s="11"/>
      <c r="U317" s="11">
        <v>80</v>
      </c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v>80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>
        <v>80</v>
      </c>
      <c r="AR317" s="11"/>
      <c r="AS317" s="11"/>
      <c r="AT317" s="11"/>
      <c r="AU317" s="11"/>
      <c r="AV317" s="11"/>
      <c r="AW317" s="20" t="str">
        <f>HYPERLINK("http://www.openstreetmap.org/?mlat=35.2432&amp;mlon=44.2796&amp;zoom=12#map=12/35.2432/44.2796","Maplink1")</f>
        <v>Maplink1</v>
      </c>
      <c r="AX317" s="20" t="str">
        <f>HYPERLINK("https://www.google.iq/maps/search/+35.2432,44.2796/@35.2432,44.2796,14z?hl=en","Maplink2")</f>
        <v>Maplink2</v>
      </c>
      <c r="AY317" s="20" t="str">
        <f>HYPERLINK("http://www.bing.com/maps/?lvl=14&amp;sty=h&amp;cp=35.2432~44.2796&amp;sp=point.35.2432_44.2796","Maplink3")</f>
        <v>Maplink3</v>
      </c>
    </row>
    <row r="318" spans="1:51" x14ac:dyDescent="0.25">
      <c r="A318" s="9">
        <v>29631</v>
      </c>
      <c r="B318" s="10" t="s">
        <v>16</v>
      </c>
      <c r="C318" s="10" t="s">
        <v>1121</v>
      </c>
      <c r="D318" s="10" t="s">
        <v>1276</v>
      </c>
      <c r="E318" s="10" t="s">
        <v>1277</v>
      </c>
      <c r="F318" s="10">
        <v>35.066888900000002</v>
      </c>
      <c r="G318" s="10">
        <v>44.388860000000001</v>
      </c>
      <c r="H318" s="10" t="s">
        <v>432</v>
      </c>
      <c r="I318" s="10" t="s">
        <v>1124</v>
      </c>
      <c r="J318" s="10"/>
      <c r="K318" s="11">
        <v>81</v>
      </c>
      <c r="L318" s="11">
        <v>486</v>
      </c>
      <c r="M318" s="11"/>
      <c r="N318" s="11"/>
      <c r="O318" s="11"/>
      <c r="P318" s="11"/>
      <c r="Q318" s="11"/>
      <c r="R318" s="11"/>
      <c r="S318" s="11"/>
      <c r="T318" s="11"/>
      <c r="U318" s="11">
        <v>81</v>
      </c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v>81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>
        <v>81</v>
      </c>
      <c r="AT318" s="11"/>
      <c r="AU318" s="11"/>
      <c r="AV318" s="11"/>
      <c r="AW318" s="20" t="str">
        <f>HYPERLINK("http://www.openstreetmap.org/?mlat=35.0669&amp;mlon=44.3889&amp;zoom=12#map=12/35.0669/44.3889","Maplink1")</f>
        <v>Maplink1</v>
      </c>
      <c r="AX318" s="20" t="str">
        <f>HYPERLINK("https://www.google.iq/maps/search/+35.0669,44.3889/@35.0669,44.3889,14z?hl=en","Maplink2")</f>
        <v>Maplink2</v>
      </c>
      <c r="AY318" s="20" t="str">
        <f>HYPERLINK("http://www.bing.com/maps/?lvl=14&amp;sty=h&amp;cp=35.0669~44.3889&amp;sp=point.35.0669_44.3889","Maplink3")</f>
        <v>Maplink3</v>
      </c>
    </row>
    <row r="319" spans="1:51" x14ac:dyDescent="0.25">
      <c r="A319" s="9">
        <v>15363</v>
      </c>
      <c r="B319" s="10" t="s">
        <v>16</v>
      </c>
      <c r="C319" s="10" t="s">
        <v>16</v>
      </c>
      <c r="D319" s="10" t="s">
        <v>792</v>
      </c>
      <c r="E319" s="10" t="s">
        <v>437</v>
      </c>
      <c r="F319" s="10">
        <v>35.392583000000002</v>
      </c>
      <c r="G319" s="10">
        <v>44.064805999999997</v>
      </c>
      <c r="H319" s="10" t="s">
        <v>432</v>
      </c>
      <c r="I319" s="10" t="s">
        <v>433</v>
      </c>
      <c r="J319" s="10" t="s">
        <v>438</v>
      </c>
      <c r="K319" s="11">
        <v>78</v>
      </c>
      <c r="L319" s="11">
        <v>468</v>
      </c>
      <c r="M319" s="11"/>
      <c r="N319" s="11"/>
      <c r="O319" s="11"/>
      <c r="P319" s="11"/>
      <c r="Q319" s="11"/>
      <c r="R319" s="11"/>
      <c r="S319" s="11"/>
      <c r="T319" s="11"/>
      <c r="U319" s="11">
        <v>78</v>
      </c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>
        <v>60</v>
      </c>
      <c r="AG319" s="11">
        <v>18</v>
      </c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>
        <v>78</v>
      </c>
      <c r="AT319" s="11"/>
      <c r="AU319" s="11"/>
      <c r="AV319" s="11"/>
      <c r="AW319" s="20" t="str">
        <f>HYPERLINK("http://www.openstreetmap.org/?mlat=35.3926&amp;mlon=44.0648&amp;zoom=12#map=12/35.3926/44.0648","Maplink1")</f>
        <v>Maplink1</v>
      </c>
      <c r="AX319" s="20" t="str">
        <f>HYPERLINK("https://www.google.iq/maps/search/+35.3926,44.0648/@35.3926,44.0648,14z?hl=en","Maplink2")</f>
        <v>Maplink2</v>
      </c>
      <c r="AY319" s="20" t="str">
        <f>HYPERLINK("http://www.bing.com/maps/?lvl=14&amp;sty=h&amp;cp=35.3926~44.0648&amp;sp=point.35.3926_44.0648","Maplink3")</f>
        <v>Maplink3</v>
      </c>
    </row>
    <row r="320" spans="1:51" x14ac:dyDescent="0.25">
      <c r="A320" s="9">
        <v>25708</v>
      </c>
      <c r="B320" s="10" t="s">
        <v>16</v>
      </c>
      <c r="C320" s="10" t="s">
        <v>16</v>
      </c>
      <c r="D320" s="10" t="s">
        <v>793</v>
      </c>
      <c r="E320" s="10" t="s">
        <v>431</v>
      </c>
      <c r="F320" s="10">
        <v>35.519047</v>
      </c>
      <c r="G320" s="10">
        <v>44.233587999999997</v>
      </c>
      <c r="H320" s="10" t="s">
        <v>432</v>
      </c>
      <c r="I320" s="10" t="s">
        <v>433</v>
      </c>
      <c r="J320" s="10"/>
      <c r="K320" s="11">
        <v>85</v>
      </c>
      <c r="L320" s="11">
        <v>510</v>
      </c>
      <c r="M320" s="11"/>
      <c r="N320" s="11"/>
      <c r="O320" s="11"/>
      <c r="P320" s="11"/>
      <c r="Q320" s="11"/>
      <c r="R320" s="11"/>
      <c r="S320" s="11"/>
      <c r="T320" s="11"/>
      <c r="U320" s="11">
        <v>85</v>
      </c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>
        <v>70</v>
      </c>
      <c r="AG320" s="11">
        <v>15</v>
      </c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>
        <v>85</v>
      </c>
      <c r="AT320" s="11"/>
      <c r="AU320" s="11"/>
      <c r="AV320" s="11"/>
      <c r="AW320" s="20" t="str">
        <f>HYPERLINK("http://www.openstreetmap.org/?mlat=35.519&amp;mlon=44.2336&amp;zoom=12#map=12/35.519/44.2336","Maplink1")</f>
        <v>Maplink1</v>
      </c>
      <c r="AX320" s="20" t="str">
        <f>HYPERLINK("https://www.google.iq/maps/search/+35.519,44.2336/@35.519,44.2336,14z?hl=en","Maplink2")</f>
        <v>Maplink2</v>
      </c>
      <c r="AY320" s="20" t="str">
        <f>HYPERLINK("http://www.bing.com/maps/?lvl=14&amp;sty=h&amp;cp=35.519~44.2336&amp;sp=point.35.519_44.2336","Maplink3")</f>
        <v>Maplink3</v>
      </c>
    </row>
    <row r="321" spans="1:51" x14ac:dyDescent="0.25">
      <c r="A321" s="9">
        <v>14520</v>
      </c>
      <c r="B321" s="10" t="s">
        <v>16</v>
      </c>
      <c r="C321" s="10" t="s">
        <v>16</v>
      </c>
      <c r="D321" s="10" t="s">
        <v>434</v>
      </c>
      <c r="E321" s="10" t="s">
        <v>435</v>
      </c>
      <c r="F321" s="10">
        <v>35.479999999999997</v>
      </c>
      <c r="G321" s="10">
        <v>44.16</v>
      </c>
      <c r="H321" s="10" t="s">
        <v>432</v>
      </c>
      <c r="I321" s="10" t="s">
        <v>433</v>
      </c>
      <c r="J321" s="10" t="s">
        <v>436</v>
      </c>
      <c r="K321" s="11">
        <v>120</v>
      </c>
      <c r="L321" s="11">
        <v>720</v>
      </c>
      <c r="M321" s="11"/>
      <c r="N321" s="11"/>
      <c r="O321" s="11"/>
      <c r="P321" s="11"/>
      <c r="Q321" s="11"/>
      <c r="R321" s="11"/>
      <c r="S321" s="11"/>
      <c r="T321" s="11"/>
      <c r="U321" s="11">
        <v>120</v>
      </c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>
        <v>100</v>
      </c>
      <c r="AG321" s="11">
        <v>20</v>
      </c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>
        <v>120</v>
      </c>
      <c r="AT321" s="11"/>
      <c r="AU321" s="11"/>
      <c r="AV321" s="11"/>
      <c r="AW321" s="20" t="str">
        <f>HYPERLINK("http://www.openstreetmap.org/?mlat=35.48&amp;mlon=44.16&amp;zoom=12#map=12/35.48/44.16","Maplink1")</f>
        <v>Maplink1</v>
      </c>
      <c r="AX321" s="20" t="str">
        <f>HYPERLINK("https://www.google.iq/maps/search/+35.48,44.16/@35.48,44.16,14z?hl=en","Maplink2")</f>
        <v>Maplink2</v>
      </c>
      <c r="AY321" s="20" t="str">
        <f>HYPERLINK("http://www.bing.com/maps/?lvl=14&amp;sty=h&amp;cp=35.48~44.16&amp;sp=point.35.48_44.16","Maplink3")</f>
        <v>Maplink3</v>
      </c>
    </row>
    <row r="322" spans="1:51" x14ac:dyDescent="0.25">
      <c r="A322" s="9">
        <v>29483</v>
      </c>
      <c r="B322" s="10" t="s">
        <v>16</v>
      </c>
      <c r="C322" s="10" t="s">
        <v>16</v>
      </c>
      <c r="D322" s="10" t="s">
        <v>439</v>
      </c>
      <c r="E322" s="10" t="s">
        <v>440</v>
      </c>
      <c r="F322" s="10">
        <v>35.289000000000001</v>
      </c>
      <c r="G322" s="10">
        <v>44.74</v>
      </c>
      <c r="H322" s="10" t="s">
        <v>432</v>
      </c>
      <c r="I322" s="10" t="s">
        <v>433</v>
      </c>
      <c r="J322" s="10"/>
      <c r="K322" s="11">
        <v>130</v>
      </c>
      <c r="L322" s="11">
        <v>780</v>
      </c>
      <c r="M322" s="11"/>
      <c r="N322" s="11"/>
      <c r="O322" s="11"/>
      <c r="P322" s="11"/>
      <c r="Q322" s="11"/>
      <c r="R322" s="11"/>
      <c r="S322" s="11"/>
      <c r="T322" s="11"/>
      <c r="U322" s="11">
        <v>130</v>
      </c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>
        <v>105</v>
      </c>
      <c r="AG322" s="11">
        <v>25</v>
      </c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>
        <v>130</v>
      </c>
      <c r="AT322" s="11"/>
      <c r="AU322" s="11"/>
      <c r="AV322" s="11"/>
      <c r="AW322" s="20" t="str">
        <f>HYPERLINK("http://www.openstreetmap.org/?mlat=35.289&amp;mlon=44.74&amp;zoom=12#map=12/35.289/44.74","Maplink1")</f>
        <v>Maplink1</v>
      </c>
      <c r="AX322" s="20" t="str">
        <f>HYPERLINK("https://www.google.iq/maps/search/+35.289,44.74/@35.289,44.74,14z?hl=en","Maplink2")</f>
        <v>Maplink2</v>
      </c>
      <c r="AY322" s="20" t="str">
        <f>HYPERLINK("http://www.bing.com/maps/?lvl=14&amp;sty=h&amp;cp=35.289~44.74&amp;sp=point.35.289_44.74","Maplink3")</f>
        <v>Maplink3</v>
      </c>
    </row>
    <row r="323" spans="1:51" x14ac:dyDescent="0.25">
      <c r="A323" s="9">
        <v>29611</v>
      </c>
      <c r="B323" s="10" t="s">
        <v>20</v>
      </c>
      <c r="C323" s="10" t="s">
        <v>1126</v>
      </c>
      <c r="D323" s="10" t="s">
        <v>1127</v>
      </c>
      <c r="E323" s="10" t="s">
        <v>1128</v>
      </c>
      <c r="F323" s="10">
        <v>36.209584999999997</v>
      </c>
      <c r="G323" s="10">
        <v>43.526522</v>
      </c>
      <c r="H323" s="10" t="s">
        <v>443</v>
      </c>
      <c r="I323" s="10" t="s">
        <v>1129</v>
      </c>
      <c r="J323" s="10"/>
      <c r="K323" s="11">
        <v>8</v>
      </c>
      <c r="L323" s="11">
        <v>48</v>
      </c>
      <c r="M323" s="11"/>
      <c r="N323" s="11"/>
      <c r="O323" s="11"/>
      <c r="P323" s="11"/>
      <c r="Q323" s="11">
        <v>8</v>
      </c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>
        <v>8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8</v>
      </c>
      <c r="AS323" s="11"/>
      <c r="AT323" s="11"/>
      <c r="AU323" s="11"/>
      <c r="AV323" s="11"/>
      <c r="AW323" s="20" t="str">
        <f>HYPERLINK("http://www.openstreetmap.org/?mlat=36.2096&amp;mlon=43.5265&amp;zoom=12#map=12/36.2096/43.5265","Maplink1")</f>
        <v>Maplink1</v>
      </c>
      <c r="AX323" s="20" t="str">
        <f>HYPERLINK("https://www.google.iq/maps/search/+36.2096,43.5265/@36.2096,43.5265,14z?hl=en","Maplink2")</f>
        <v>Maplink2</v>
      </c>
      <c r="AY323" s="20" t="str">
        <f>HYPERLINK("http://www.bing.com/maps/?lvl=14&amp;sty=h&amp;cp=36.2096~43.5265&amp;sp=point.36.2096_43.5265","Maplink3")</f>
        <v>Maplink3</v>
      </c>
    </row>
    <row r="324" spans="1:51" x14ac:dyDescent="0.25">
      <c r="A324" s="9">
        <v>29613</v>
      </c>
      <c r="B324" s="10" t="s">
        <v>20</v>
      </c>
      <c r="C324" s="10" t="s">
        <v>1126</v>
      </c>
      <c r="D324" s="10" t="s">
        <v>1130</v>
      </c>
      <c r="E324" s="10" t="s">
        <v>1131</v>
      </c>
      <c r="F324" s="10">
        <v>36.208440000000003</v>
      </c>
      <c r="G324" s="10">
        <v>43.537964000000002</v>
      </c>
      <c r="H324" s="10" t="s">
        <v>443</v>
      </c>
      <c r="I324" s="10" t="s">
        <v>1129</v>
      </c>
      <c r="J324" s="10"/>
      <c r="K324" s="11">
        <v>25</v>
      </c>
      <c r="L324" s="11">
        <v>150</v>
      </c>
      <c r="M324" s="11"/>
      <c r="N324" s="11"/>
      <c r="O324" s="11"/>
      <c r="P324" s="11"/>
      <c r="Q324" s="11">
        <v>25</v>
      </c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>
        <v>25</v>
      </c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v>25</v>
      </c>
      <c r="AS324" s="11"/>
      <c r="AT324" s="11"/>
      <c r="AU324" s="11"/>
      <c r="AV324" s="11"/>
      <c r="AW324" s="20" t="str">
        <f>HYPERLINK("http://www.openstreetmap.org/?mlat=36.2084&amp;mlon=43.538&amp;zoom=12#map=12/36.2084/43.538","Maplink1")</f>
        <v>Maplink1</v>
      </c>
      <c r="AX324" s="20" t="str">
        <f>HYPERLINK("https://www.google.iq/maps/search/+36.2084,43.538/@36.2084,43.538,14z?hl=en","Maplink2")</f>
        <v>Maplink2</v>
      </c>
      <c r="AY324" s="20" t="str">
        <f>HYPERLINK("http://www.bing.com/maps/?lvl=14&amp;sty=h&amp;cp=36.2084~43.538&amp;sp=point.36.2084_43.538","Maplink3")</f>
        <v>Maplink3</v>
      </c>
    </row>
    <row r="325" spans="1:51" x14ac:dyDescent="0.25">
      <c r="A325" s="9">
        <v>17366</v>
      </c>
      <c r="B325" s="10" t="s">
        <v>20</v>
      </c>
      <c r="C325" s="10" t="s">
        <v>1126</v>
      </c>
      <c r="D325" s="10" t="s">
        <v>1132</v>
      </c>
      <c r="E325" s="10" t="s">
        <v>1133</v>
      </c>
      <c r="F325" s="10">
        <v>36.183857000000003</v>
      </c>
      <c r="G325" s="10">
        <v>43.538722999999997</v>
      </c>
      <c r="H325" s="10" t="s">
        <v>443</v>
      </c>
      <c r="I325" s="10" t="s">
        <v>1129</v>
      </c>
      <c r="J325" s="10" t="s">
        <v>1134</v>
      </c>
      <c r="K325" s="11">
        <v>8</v>
      </c>
      <c r="L325" s="11">
        <v>48</v>
      </c>
      <c r="M325" s="11"/>
      <c r="N325" s="11"/>
      <c r="O325" s="11"/>
      <c r="P325" s="11"/>
      <c r="Q325" s="11">
        <v>8</v>
      </c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>
        <v>8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v>8</v>
      </c>
      <c r="AS325" s="11"/>
      <c r="AT325" s="11"/>
      <c r="AU325" s="11"/>
      <c r="AV325" s="11"/>
      <c r="AW325" s="20" t="str">
        <f>HYPERLINK("http://www.openstreetmap.org/?mlat=36.1839&amp;mlon=43.5387&amp;zoom=12#map=12/36.1839/43.5387","Maplink1")</f>
        <v>Maplink1</v>
      </c>
      <c r="AX325" s="20" t="str">
        <f>HYPERLINK("https://www.google.iq/maps/search/+36.1839,43.5387/@36.1839,43.5387,14z?hl=en","Maplink2")</f>
        <v>Maplink2</v>
      </c>
      <c r="AY325" s="20" t="str">
        <f>HYPERLINK("http://www.bing.com/maps/?lvl=14&amp;sty=h&amp;cp=36.1839~43.5387&amp;sp=point.36.1839_43.5387","Maplink3")</f>
        <v>Maplink3</v>
      </c>
    </row>
    <row r="326" spans="1:51" x14ac:dyDescent="0.25">
      <c r="A326" s="9">
        <v>25812</v>
      </c>
      <c r="B326" s="10" t="s">
        <v>20</v>
      </c>
      <c r="C326" s="10" t="s">
        <v>441</v>
      </c>
      <c r="D326" s="10" t="s">
        <v>1135</v>
      </c>
      <c r="E326" s="10" t="s">
        <v>445</v>
      </c>
      <c r="F326" s="10">
        <v>36.475911000000004</v>
      </c>
      <c r="G326" s="10">
        <v>43.434956</v>
      </c>
      <c r="H326" s="10" t="s">
        <v>443</v>
      </c>
      <c r="I326" s="10" t="s">
        <v>444</v>
      </c>
      <c r="J326" s="10"/>
      <c r="K326" s="11">
        <v>17</v>
      </c>
      <c r="L326" s="11">
        <v>102</v>
      </c>
      <c r="M326" s="11"/>
      <c r="N326" s="11"/>
      <c r="O326" s="11"/>
      <c r="P326" s="11"/>
      <c r="Q326" s="11">
        <v>17</v>
      </c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>
        <v>17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>
        <v>17</v>
      </c>
      <c r="AS326" s="11"/>
      <c r="AT326" s="11"/>
      <c r="AU326" s="11"/>
      <c r="AV326" s="11"/>
      <c r="AW326" s="20" t="str">
        <f>HYPERLINK("http://www.openstreetmap.org/?mlat=36.4759&amp;mlon=43.435&amp;zoom=12#map=12/36.4759/43.435","Maplink1")</f>
        <v>Maplink1</v>
      </c>
      <c r="AX326" s="20" t="str">
        <f>HYPERLINK("https://www.google.iq/maps/search/+36.4759,43.435/@36.4759,43.435,14z?hl=en","Maplink2")</f>
        <v>Maplink2</v>
      </c>
      <c r="AY326" s="20" t="str">
        <f>HYPERLINK("http://www.bing.com/maps/?lvl=14&amp;sty=h&amp;cp=36.4759~43.435&amp;sp=point.36.4759_43.435","Maplink3")</f>
        <v>Maplink3</v>
      </c>
    </row>
    <row r="327" spans="1:51" x14ac:dyDescent="0.25">
      <c r="A327" s="9">
        <v>17515</v>
      </c>
      <c r="B327" s="10" t="s">
        <v>20</v>
      </c>
      <c r="C327" s="10" t="s">
        <v>441</v>
      </c>
      <c r="D327" s="10" t="s">
        <v>1136</v>
      </c>
      <c r="E327" s="10" t="s">
        <v>1137</v>
      </c>
      <c r="F327" s="10">
        <v>35.738433000000001</v>
      </c>
      <c r="G327" s="10">
        <v>43.313799000000003</v>
      </c>
      <c r="H327" s="10" t="s">
        <v>443</v>
      </c>
      <c r="I327" s="10" t="s">
        <v>444</v>
      </c>
      <c r="J327" s="10" t="s">
        <v>1138</v>
      </c>
      <c r="K327" s="11">
        <v>4476</v>
      </c>
      <c r="L327" s="11">
        <v>26856</v>
      </c>
      <c r="M327" s="11"/>
      <c r="N327" s="11"/>
      <c r="O327" s="11"/>
      <c r="P327" s="11"/>
      <c r="Q327" s="11"/>
      <c r="R327" s="11"/>
      <c r="S327" s="11">
        <v>4102</v>
      </c>
      <c r="T327" s="11"/>
      <c r="U327" s="11">
        <v>374</v>
      </c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>
        <v>4436</v>
      </c>
      <c r="AG327" s="11"/>
      <c r="AH327" s="11"/>
      <c r="AI327" s="11"/>
      <c r="AJ327" s="11">
        <v>40</v>
      </c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>
        <v>4476</v>
      </c>
      <c r="AV327" s="11"/>
      <c r="AW327" s="20" t="str">
        <f>HYPERLINK("http://www.openstreetmap.org/?mlat=35.7384&amp;mlon=43.3138&amp;zoom=12#map=12/35.7384/43.3138","Maplink1")</f>
        <v>Maplink1</v>
      </c>
      <c r="AX327" s="20" t="str">
        <f>HYPERLINK("https://www.google.iq/maps/search/+35.7384,43.3138/@35.7384,43.3138,14z?hl=en","Maplink2")</f>
        <v>Maplink2</v>
      </c>
      <c r="AY327" s="20" t="str">
        <f>HYPERLINK("http://www.bing.com/maps/?lvl=14&amp;sty=h&amp;cp=35.7384~43.3138&amp;sp=point.35.7384_43.3138","Maplink3")</f>
        <v>Maplink3</v>
      </c>
    </row>
    <row r="328" spans="1:51" x14ac:dyDescent="0.25">
      <c r="A328" s="9">
        <v>25811</v>
      </c>
      <c r="B328" s="10" t="s">
        <v>20</v>
      </c>
      <c r="C328" s="10" t="s">
        <v>441</v>
      </c>
      <c r="D328" s="10" t="s">
        <v>1139</v>
      </c>
      <c r="E328" s="10" t="s">
        <v>442</v>
      </c>
      <c r="F328" s="10">
        <v>36.490226</v>
      </c>
      <c r="G328" s="10">
        <v>43.423434999999998</v>
      </c>
      <c r="H328" s="10" t="s">
        <v>443</v>
      </c>
      <c r="I328" s="10" t="s">
        <v>444</v>
      </c>
      <c r="J328" s="10"/>
      <c r="K328" s="11">
        <v>14</v>
      </c>
      <c r="L328" s="11">
        <v>84</v>
      </c>
      <c r="M328" s="11"/>
      <c r="N328" s="11"/>
      <c r="O328" s="11"/>
      <c r="P328" s="11"/>
      <c r="Q328" s="11">
        <v>4</v>
      </c>
      <c r="R328" s="11"/>
      <c r="S328" s="11">
        <v>10</v>
      </c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>
        <v>14</v>
      </c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>
        <v>14</v>
      </c>
      <c r="AS328" s="11"/>
      <c r="AT328" s="11"/>
      <c r="AU328" s="11"/>
      <c r="AV328" s="11"/>
      <c r="AW328" s="20" t="str">
        <f>HYPERLINK("http://www.openstreetmap.org/?mlat=36.4902&amp;mlon=43.4234&amp;zoom=12#map=12/36.4902/43.4234","Maplink1")</f>
        <v>Maplink1</v>
      </c>
      <c r="AX328" s="20" t="str">
        <f>HYPERLINK("https://www.google.iq/maps/search/+36.4902,43.4234/@36.4902,43.4234,14z?hl=en","Maplink2")</f>
        <v>Maplink2</v>
      </c>
      <c r="AY328" s="20" t="str">
        <f>HYPERLINK("http://www.bing.com/maps/?lvl=14&amp;sty=h&amp;cp=36.4902~43.4234&amp;sp=point.36.4902_43.4234","Maplink3")</f>
        <v>Maplink3</v>
      </c>
    </row>
    <row r="329" spans="1:51" x14ac:dyDescent="0.25">
      <c r="A329" s="9">
        <v>17744</v>
      </c>
      <c r="B329" s="10" t="s">
        <v>20</v>
      </c>
      <c r="C329" s="10" t="s">
        <v>441</v>
      </c>
      <c r="D329" s="10" t="s">
        <v>1337</v>
      </c>
      <c r="E329" s="10" t="s">
        <v>1338</v>
      </c>
      <c r="F329" s="10">
        <v>35.783900000000003</v>
      </c>
      <c r="G329" s="10">
        <v>43.309699999999999</v>
      </c>
      <c r="H329" s="10" t="s">
        <v>443</v>
      </c>
      <c r="I329" s="10" t="s">
        <v>444</v>
      </c>
      <c r="J329" s="10" t="s">
        <v>1339</v>
      </c>
      <c r="K329" s="11">
        <v>48</v>
      </c>
      <c r="L329" s="11">
        <v>288</v>
      </c>
      <c r="M329" s="11"/>
      <c r="N329" s="11"/>
      <c r="O329" s="11"/>
      <c r="P329" s="11"/>
      <c r="Q329" s="11"/>
      <c r="R329" s="11"/>
      <c r="S329" s="11">
        <v>48</v>
      </c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>
        <v>48</v>
      </c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>
        <v>48</v>
      </c>
      <c r="AV329" s="11"/>
      <c r="AW329" s="20" t="str">
        <f>HYPERLINK("http://www.openstreetmap.org/?mlat=35.7839&amp;mlon=43.3097&amp;zoom=12#map=12/35.7839/43.3097","Maplink1")</f>
        <v>Maplink1</v>
      </c>
      <c r="AX329" s="20" t="str">
        <f>HYPERLINK("https://www.google.iq/maps/search/+35.7839,43.3097/@35.7839,43.3097,14z?hl=en","Maplink2")</f>
        <v>Maplink2</v>
      </c>
      <c r="AY329" s="20" t="str">
        <f>HYPERLINK("http://www.bing.com/maps/?lvl=14&amp;sty=h&amp;cp=35.7839~43.3097&amp;sp=point.35.7839_43.3097","Maplink3")</f>
        <v>Maplink3</v>
      </c>
    </row>
    <row r="330" spans="1:51" x14ac:dyDescent="0.25">
      <c r="A330" s="9">
        <v>29663</v>
      </c>
      <c r="B330" s="10" t="s">
        <v>20</v>
      </c>
      <c r="C330" s="10" t="s">
        <v>441</v>
      </c>
      <c r="D330" s="10" t="s">
        <v>1340</v>
      </c>
      <c r="E330" s="10" t="s">
        <v>1341</v>
      </c>
      <c r="F330" s="10">
        <v>35.740499999999997</v>
      </c>
      <c r="G330" s="10">
        <v>43.274000000000001</v>
      </c>
      <c r="H330" s="10" t="s">
        <v>443</v>
      </c>
      <c r="I330" s="10" t="s">
        <v>444</v>
      </c>
      <c r="J330" s="10"/>
      <c r="K330" s="11">
        <v>60</v>
      </c>
      <c r="L330" s="11">
        <v>360</v>
      </c>
      <c r="M330" s="11"/>
      <c r="N330" s="11"/>
      <c r="O330" s="11"/>
      <c r="P330" s="11"/>
      <c r="Q330" s="11"/>
      <c r="R330" s="11"/>
      <c r="S330" s="11">
        <v>60</v>
      </c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>
        <v>60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>
        <v>60</v>
      </c>
      <c r="AV330" s="11"/>
      <c r="AW330" s="20" t="str">
        <f>HYPERLINK("http://www.openstreetmap.org/?mlat=35.7405&amp;mlon=43.274&amp;zoom=12#map=12/35.7405/43.274","Maplink1")</f>
        <v>Maplink1</v>
      </c>
      <c r="AX330" s="20" t="str">
        <f>HYPERLINK("https://www.google.iq/maps/search/+35.7405,43.274/@35.7405,43.274,14z?hl=en","Maplink2")</f>
        <v>Maplink2</v>
      </c>
      <c r="AY330" s="20" t="str">
        <f>HYPERLINK("http://www.bing.com/maps/?lvl=14&amp;sty=h&amp;cp=35.7405~43.274&amp;sp=point.35.7405_43.274","Maplink3")</f>
        <v>Maplink3</v>
      </c>
    </row>
    <row r="331" spans="1:51" x14ac:dyDescent="0.25">
      <c r="A331" s="9">
        <v>18053</v>
      </c>
      <c r="B331" s="10" t="s">
        <v>20</v>
      </c>
      <c r="C331" s="10" t="s">
        <v>441</v>
      </c>
      <c r="D331" s="10" t="s">
        <v>1429</v>
      </c>
      <c r="E331" s="10" t="s">
        <v>1430</v>
      </c>
      <c r="F331" s="10">
        <v>35.878999999999998</v>
      </c>
      <c r="G331" s="10">
        <v>43.341500000000003</v>
      </c>
      <c r="H331" s="10" t="s">
        <v>443</v>
      </c>
      <c r="I331" s="10" t="s">
        <v>444</v>
      </c>
      <c r="J331" s="10" t="s">
        <v>1431</v>
      </c>
      <c r="K331" s="11">
        <v>100</v>
      </c>
      <c r="L331" s="11">
        <v>600</v>
      </c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>
        <v>100</v>
      </c>
      <c r="Z331" s="11"/>
      <c r="AA331" s="11"/>
      <c r="AB331" s="11"/>
      <c r="AC331" s="11"/>
      <c r="AD331" s="11"/>
      <c r="AE331" s="11"/>
      <c r="AF331" s="11">
        <v>100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>
        <v>100</v>
      </c>
      <c r="AW331" s="20" t="str">
        <f>HYPERLINK("http://www.openstreetmap.org/?mlat=35.879&amp;mlon=43.3415&amp;zoom=12#map=12/35.879/43.3415","Maplink1")</f>
        <v>Maplink1</v>
      </c>
      <c r="AX331" s="20" t="str">
        <f>HYPERLINK("https://www.google.iq/maps/search/+35.879,43.3415/@35.879,43.3415,14z?hl=en","Maplink2")</f>
        <v>Maplink2</v>
      </c>
      <c r="AY331" s="20" t="str">
        <f>HYPERLINK("http://www.bing.com/maps/?lvl=14&amp;sty=h&amp;cp=35.879~43.3415&amp;sp=point.35.879_43.3415","Maplink3")</f>
        <v>Maplink3</v>
      </c>
    </row>
    <row r="332" spans="1:51" x14ac:dyDescent="0.25">
      <c r="A332" s="9">
        <v>29667</v>
      </c>
      <c r="B332" s="10" t="s">
        <v>20</v>
      </c>
      <c r="C332" s="10" t="s">
        <v>441</v>
      </c>
      <c r="D332" s="10" t="s">
        <v>1432</v>
      </c>
      <c r="E332" s="10" t="s">
        <v>1433</v>
      </c>
      <c r="F332" s="10">
        <v>35.9086</v>
      </c>
      <c r="G332" s="10">
        <v>43.31803</v>
      </c>
      <c r="H332" s="10" t="s">
        <v>443</v>
      </c>
      <c r="I332" s="10" t="s">
        <v>444</v>
      </c>
      <c r="J332" s="10"/>
      <c r="K332" s="11">
        <v>100</v>
      </c>
      <c r="L332" s="11">
        <v>600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>
        <v>100</v>
      </c>
      <c r="Z332" s="11"/>
      <c r="AA332" s="11"/>
      <c r="AB332" s="11"/>
      <c r="AC332" s="11"/>
      <c r="AD332" s="11"/>
      <c r="AE332" s="11"/>
      <c r="AF332" s="11">
        <v>100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>
        <v>100</v>
      </c>
      <c r="AW332" s="20" t="str">
        <f>HYPERLINK("http://www.openstreetmap.org/?mlat=35.9086&amp;mlon=43.318&amp;zoom=12#map=12/35.9086/43.318","Maplink1")</f>
        <v>Maplink1</v>
      </c>
      <c r="AX332" s="20" t="str">
        <f>HYPERLINK("https://www.google.iq/maps/search/+35.9086,43.318/@35.9086,43.318,14z?hl=en","Maplink2")</f>
        <v>Maplink2</v>
      </c>
      <c r="AY332" s="20" t="str">
        <f>HYPERLINK("http://www.bing.com/maps/?lvl=14&amp;sty=h&amp;cp=35.9086~43.318&amp;sp=point.35.9086_43.318","Maplink3")</f>
        <v>Maplink3</v>
      </c>
    </row>
    <row r="333" spans="1:51" x14ac:dyDescent="0.25">
      <c r="A333" s="9">
        <v>17128</v>
      </c>
      <c r="B333" s="10" t="s">
        <v>20</v>
      </c>
      <c r="C333" s="10" t="s">
        <v>441</v>
      </c>
      <c r="D333" s="10" t="s">
        <v>1434</v>
      </c>
      <c r="E333" s="10" t="s">
        <v>1435</v>
      </c>
      <c r="F333" s="10">
        <v>36.158067000000003</v>
      </c>
      <c r="G333" s="10">
        <v>43.25949</v>
      </c>
      <c r="H333" s="10" t="s">
        <v>443</v>
      </c>
      <c r="I333" s="10" t="s">
        <v>444</v>
      </c>
      <c r="J333" s="10" t="s">
        <v>1436</v>
      </c>
      <c r="K333" s="11">
        <v>125</v>
      </c>
      <c r="L333" s="11">
        <v>750</v>
      </c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>
        <v>125</v>
      </c>
      <c r="Z333" s="11"/>
      <c r="AA333" s="11"/>
      <c r="AB333" s="11"/>
      <c r="AC333" s="11"/>
      <c r="AD333" s="11"/>
      <c r="AE333" s="11"/>
      <c r="AF333" s="11">
        <v>125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>
        <v>125</v>
      </c>
      <c r="AW333" s="20" t="str">
        <f>HYPERLINK("http://www.openstreetmap.org/?mlat=36.1581&amp;mlon=43.2595&amp;zoom=12#map=12/36.1581/43.2595","Maplink1")</f>
        <v>Maplink1</v>
      </c>
      <c r="AX333" s="20" t="str">
        <f>HYPERLINK("https://www.google.iq/maps/search/+36.1581,43.2595/@36.1581,43.2595,14z?hl=en","Maplink2")</f>
        <v>Maplink2</v>
      </c>
      <c r="AY333" s="20" t="str">
        <f>HYPERLINK("http://www.bing.com/maps/?lvl=14&amp;sty=h&amp;cp=36.1581~43.2595&amp;sp=point.36.1581_43.2595","Maplink3")</f>
        <v>Maplink3</v>
      </c>
    </row>
    <row r="334" spans="1:51" x14ac:dyDescent="0.25">
      <c r="A334" s="9">
        <v>29661</v>
      </c>
      <c r="B334" s="10" t="s">
        <v>20</v>
      </c>
      <c r="C334" s="10" t="s">
        <v>441</v>
      </c>
      <c r="D334" s="10" t="s">
        <v>1342</v>
      </c>
      <c r="E334" s="10" t="s">
        <v>1343</v>
      </c>
      <c r="F334" s="10">
        <v>35.783299999999997</v>
      </c>
      <c r="G334" s="10">
        <v>43.353299999999997</v>
      </c>
      <c r="H334" s="10" t="s">
        <v>443</v>
      </c>
      <c r="I334" s="10" t="s">
        <v>444</v>
      </c>
      <c r="J334" s="10"/>
      <c r="K334" s="11">
        <v>55</v>
      </c>
      <c r="L334" s="11">
        <v>330</v>
      </c>
      <c r="M334" s="11"/>
      <c r="N334" s="11"/>
      <c r="O334" s="11"/>
      <c r="P334" s="11"/>
      <c r="Q334" s="11"/>
      <c r="R334" s="11"/>
      <c r="S334" s="11">
        <v>55</v>
      </c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>
        <v>55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>
        <v>55</v>
      </c>
      <c r="AV334" s="11"/>
      <c r="AW334" s="20" t="str">
        <f>HYPERLINK("http://www.openstreetmap.org/?mlat=35.7833&amp;mlon=43.3533&amp;zoom=12#map=12/35.7833/43.3533","Maplink1")</f>
        <v>Maplink1</v>
      </c>
      <c r="AX334" s="20" t="str">
        <f>HYPERLINK("https://www.google.iq/maps/search/+35.7833,43.3533/@35.7833,43.3533,14z?hl=en","Maplink2")</f>
        <v>Maplink2</v>
      </c>
      <c r="AY334" s="20" t="str">
        <f>HYPERLINK("http://www.bing.com/maps/?lvl=14&amp;sty=h&amp;cp=35.7833~43.3533&amp;sp=point.35.7833_43.3533","Maplink3")</f>
        <v>Maplink3</v>
      </c>
    </row>
    <row r="335" spans="1:51" x14ac:dyDescent="0.25">
      <c r="A335" s="9">
        <v>17510</v>
      </c>
      <c r="B335" s="10" t="s">
        <v>20</v>
      </c>
      <c r="C335" s="10" t="s">
        <v>441</v>
      </c>
      <c r="D335" s="10" t="s">
        <v>1344</v>
      </c>
      <c r="E335" s="10" t="s">
        <v>1345</v>
      </c>
      <c r="F335" s="10">
        <v>35.828699999999998</v>
      </c>
      <c r="G335" s="10">
        <v>43.327100000000002</v>
      </c>
      <c r="H335" s="10" t="s">
        <v>443</v>
      </c>
      <c r="I335" s="10" t="s">
        <v>444</v>
      </c>
      <c r="J335" s="10" t="s">
        <v>1346</v>
      </c>
      <c r="K335" s="11">
        <v>120</v>
      </c>
      <c r="L335" s="11">
        <v>720</v>
      </c>
      <c r="M335" s="11"/>
      <c r="N335" s="11"/>
      <c r="O335" s="11"/>
      <c r="P335" s="11"/>
      <c r="Q335" s="11"/>
      <c r="R335" s="11"/>
      <c r="S335" s="11">
        <v>120</v>
      </c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>
        <v>120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>
        <v>120</v>
      </c>
      <c r="AV335" s="11"/>
      <c r="AW335" s="20" t="str">
        <f>HYPERLINK("http://www.openstreetmap.org/?mlat=35.8287&amp;mlon=43.3271&amp;zoom=12#map=12/35.8287/43.3271","Maplink1")</f>
        <v>Maplink1</v>
      </c>
      <c r="AX335" s="20" t="str">
        <f>HYPERLINK("https://www.google.iq/maps/search/+35.8287,43.3271/@35.8287,43.3271,14z?hl=en","Maplink2")</f>
        <v>Maplink2</v>
      </c>
      <c r="AY335" s="20" t="str">
        <f>HYPERLINK("http://www.bing.com/maps/?lvl=14&amp;sty=h&amp;cp=35.8287~43.3271&amp;sp=point.35.8287_43.3271","Maplink3")</f>
        <v>Maplink3</v>
      </c>
    </row>
    <row r="336" spans="1:51" x14ac:dyDescent="0.25">
      <c r="A336" s="9">
        <v>25813</v>
      </c>
      <c r="B336" s="10" t="s">
        <v>20</v>
      </c>
      <c r="C336" s="10" t="s">
        <v>441</v>
      </c>
      <c r="D336" s="10" t="s">
        <v>1140</v>
      </c>
      <c r="E336" s="10" t="s">
        <v>446</v>
      </c>
      <c r="F336" s="10">
        <v>36.492462000000003</v>
      </c>
      <c r="G336" s="10">
        <v>43.423974000000001</v>
      </c>
      <c r="H336" s="10" t="s">
        <v>443</v>
      </c>
      <c r="I336" s="10" t="s">
        <v>444</v>
      </c>
      <c r="J336" s="10"/>
      <c r="K336" s="11">
        <v>23</v>
      </c>
      <c r="L336" s="11">
        <v>138</v>
      </c>
      <c r="M336" s="11"/>
      <c r="N336" s="11"/>
      <c r="O336" s="11"/>
      <c r="P336" s="11"/>
      <c r="Q336" s="11">
        <v>13</v>
      </c>
      <c r="R336" s="11"/>
      <c r="S336" s="11">
        <v>10</v>
      </c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>
        <v>23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>
        <v>23</v>
      </c>
      <c r="AS336" s="11"/>
      <c r="AT336" s="11"/>
      <c r="AU336" s="11"/>
      <c r="AV336" s="11"/>
      <c r="AW336" s="20" t="str">
        <f>HYPERLINK("http://www.openstreetmap.org/?mlat=36.4925&amp;mlon=43.424&amp;zoom=12#map=12/36.4925/43.424","Maplink1")</f>
        <v>Maplink1</v>
      </c>
      <c r="AX336" s="20" t="str">
        <f>HYPERLINK("https://www.google.iq/maps/search/+36.4925,43.424/@36.4925,43.424,14z?hl=en","Maplink2")</f>
        <v>Maplink2</v>
      </c>
      <c r="AY336" s="20" t="str">
        <f>HYPERLINK("http://www.bing.com/maps/?lvl=14&amp;sty=h&amp;cp=36.4925~43.424&amp;sp=point.36.4925_43.424","Maplink3")</f>
        <v>Maplink3</v>
      </c>
    </row>
    <row r="337" spans="1:51" x14ac:dyDescent="0.25">
      <c r="A337" s="9">
        <v>29662</v>
      </c>
      <c r="B337" s="10" t="s">
        <v>20</v>
      </c>
      <c r="C337" s="10" t="s">
        <v>441</v>
      </c>
      <c r="D337" s="10" t="s">
        <v>1347</v>
      </c>
      <c r="E337" s="10" t="s">
        <v>1348</v>
      </c>
      <c r="F337" s="10">
        <v>35.838299999999997</v>
      </c>
      <c r="G337" s="10">
        <v>43.329700000000003</v>
      </c>
      <c r="H337" s="10" t="s">
        <v>443</v>
      </c>
      <c r="I337" s="10" t="s">
        <v>444</v>
      </c>
      <c r="J337" s="10"/>
      <c r="K337" s="11">
        <v>195</v>
      </c>
      <c r="L337" s="11">
        <v>1170</v>
      </c>
      <c r="M337" s="11"/>
      <c r="N337" s="11"/>
      <c r="O337" s="11"/>
      <c r="P337" s="11"/>
      <c r="Q337" s="11"/>
      <c r="R337" s="11"/>
      <c r="S337" s="11">
        <v>195</v>
      </c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>
        <v>195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>
        <v>195</v>
      </c>
      <c r="AV337" s="11"/>
      <c r="AW337" s="20" t="str">
        <f>HYPERLINK("http://www.openstreetmap.org/?mlat=35.8383&amp;mlon=43.3297&amp;zoom=12#map=12/35.8383/43.3297","Maplink1")</f>
        <v>Maplink1</v>
      </c>
      <c r="AX337" s="20" t="str">
        <f>HYPERLINK("https://www.google.iq/maps/search/+35.8383,43.3297/@35.8383,43.3297,14z?hl=en","Maplink2")</f>
        <v>Maplink2</v>
      </c>
      <c r="AY337" s="20" t="str">
        <f>HYPERLINK("http://www.bing.com/maps/?lvl=14&amp;sty=h&amp;cp=35.8383~43.3297&amp;sp=point.35.8383_43.3297","Maplink3")</f>
        <v>Maplink3</v>
      </c>
    </row>
    <row r="338" spans="1:51" x14ac:dyDescent="0.25">
      <c r="A338" s="9">
        <v>25810</v>
      </c>
      <c r="B338" s="10" t="s">
        <v>20</v>
      </c>
      <c r="C338" s="10" t="s">
        <v>441</v>
      </c>
      <c r="D338" s="10" t="s">
        <v>1141</v>
      </c>
      <c r="E338" s="10" t="s">
        <v>447</v>
      </c>
      <c r="F338" s="10">
        <v>36.477575999999999</v>
      </c>
      <c r="G338" s="10">
        <v>43.439771999999998</v>
      </c>
      <c r="H338" s="10" t="s">
        <v>443</v>
      </c>
      <c r="I338" s="10" t="s">
        <v>444</v>
      </c>
      <c r="J338" s="10"/>
      <c r="K338" s="11">
        <v>67</v>
      </c>
      <c r="L338" s="11">
        <v>402</v>
      </c>
      <c r="M338" s="11"/>
      <c r="N338" s="11"/>
      <c r="O338" s="11"/>
      <c r="P338" s="11"/>
      <c r="Q338" s="11">
        <v>30</v>
      </c>
      <c r="R338" s="11"/>
      <c r="S338" s="11">
        <v>37</v>
      </c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>
        <v>67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>
        <v>67</v>
      </c>
      <c r="AS338" s="11"/>
      <c r="AT338" s="11"/>
      <c r="AU338" s="11"/>
      <c r="AV338" s="11"/>
      <c r="AW338" s="20" t="str">
        <f>HYPERLINK("http://www.openstreetmap.org/?mlat=36.4776&amp;mlon=43.4398&amp;zoom=12#map=12/36.4776/43.4398","Maplink1")</f>
        <v>Maplink1</v>
      </c>
      <c r="AX338" s="20" t="str">
        <f>HYPERLINK("https://www.google.iq/maps/search/+36.4776,43.4398/@36.4776,43.4398,14z?hl=en","Maplink2")</f>
        <v>Maplink2</v>
      </c>
      <c r="AY338" s="20" t="str">
        <f>HYPERLINK("http://www.bing.com/maps/?lvl=14&amp;sty=h&amp;cp=36.4776~43.4398&amp;sp=point.36.4776_43.4398","Maplink3")</f>
        <v>Maplink3</v>
      </c>
    </row>
    <row r="339" spans="1:51" x14ac:dyDescent="0.25">
      <c r="A339" s="9">
        <v>29666</v>
      </c>
      <c r="B339" s="10" t="s">
        <v>20</v>
      </c>
      <c r="C339" s="10" t="s">
        <v>441</v>
      </c>
      <c r="D339" s="10" t="s">
        <v>1437</v>
      </c>
      <c r="E339" s="10" t="s">
        <v>1438</v>
      </c>
      <c r="F339" s="10">
        <v>35.840499999999999</v>
      </c>
      <c r="G339" s="10">
        <v>43.345599999999997</v>
      </c>
      <c r="H339" s="10" t="s">
        <v>443</v>
      </c>
      <c r="I339" s="10" t="s">
        <v>444</v>
      </c>
      <c r="J339" s="10"/>
      <c r="K339" s="11">
        <v>80</v>
      </c>
      <c r="L339" s="11">
        <v>480</v>
      </c>
      <c r="M339" s="11"/>
      <c r="N339" s="11"/>
      <c r="O339" s="11"/>
      <c r="P339" s="11"/>
      <c r="Q339" s="11"/>
      <c r="R339" s="11"/>
      <c r="S339" s="11">
        <v>80</v>
      </c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>
        <v>80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>
        <v>80</v>
      </c>
      <c r="AV339" s="11"/>
      <c r="AW339" s="20" t="str">
        <f>HYPERLINK("http://www.openstreetmap.org/?mlat=35.8405&amp;mlon=43.3456&amp;zoom=12#map=12/35.8405/43.3456","Maplink1")</f>
        <v>Maplink1</v>
      </c>
      <c r="AX339" s="20" t="str">
        <f>HYPERLINK("https://www.google.iq/maps/search/+35.8405,43.3456/@35.8405,43.3456,14z?hl=en","Maplink2")</f>
        <v>Maplink2</v>
      </c>
      <c r="AY339" s="20" t="str">
        <f>HYPERLINK("http://www.bing.com/maps/?lvl=14&amp;sty=h&amp;cp=35.8405~43.3456&amp;sp=point.35.8405_43.3456","Maplink3")</f>
        <v>Maplink3</v>
      </c>
    </row>
    <row r="340" spans="1:51" x14ac:dyDescent="0.25">
      <c r="A340" s="9">
        <v>17922</v>
      </c>
      <c r="B340" s="10" t="s">
        <v>20</v>
      </c>
      <c r="C340" s="10" t="s">
        <v>441</v>
      </c>
      <c r="D340" s="10" t="s">
        <v>1439</v>
      </c>
      <c r="E340" s="10" t="s">
        <v>1440</v>
      </c>
      <c r="F340" s="10">
        <v>35.992576</v>
      </c>
      <c r="G340" s="10">
        <v>43.220658999999998</v>
      </c>
      <c r="H340" s="10" t="s">
        <v>443</v>
      </c>
      <c r="I340" s="10" t="s">
        <v>444</v>
      </c>
      <c r="J340" s="10" t="s">
        <v>1441</v>
      </c>
      <c r="K340" s="11">
        <v>511</v>
      </c>
      <c r="L340" s="11">
        <v>3066</v>
      </c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>
        <v>511</v>
      </c>
      <c r="Z340" s="11"/>
      <c r="AA340" s="11"/>
      <c r="AB340" s="11"/>
      <c r="AC340" s="11"/>
      <c r="AD340" s="11"/>
      <c r="AE340" s="11"/>
      <c r="AF340" s="11">
        <v>511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>
        <v>511</v>
      </c>
      <c r="AW340" s="20" t="str">
        <f>HYPERLINK("http://www.openstreetmap.org/?mlat=35.9926&amp;mlon=43.2207&amp;zoom=12#map=12/35.9926/43.2207","Maplink1")</f>
        <v>Maplink1</v>
      </c>
      <c r="AX340" s="20" t="str">
        <f>HYPERLINK("https://www.google.iq/maps/search/+35.9926,43.2207/@35.9926,43.2207,14z?hl=en","Maplink2")</f>
        <v>Maplink2</v>
      </c>
      <c r="AY340" s="20" t="str">
        <f>HYPERLINK("http://www.bing.com/maps/?lvl=14&amp;sty=h&amp;cp=35.9926~43.2207&amp;sp=point.35.9926_43.2207","Maplink3")</f>
        <v>Maplink3</v>
      </c>
    </row>
    <row r="341" spans="1:51" x14ac:dyDescent="0.25">
      <c r="A341" s="9">
        <v>17921</v>
      </c>
      <c r="B341" s="10" t="s">
        <v>20</v>
      </c>
      <c r="C341" s="10" t="s">
        <v>441</v>
      </c>
      <c r="D341" s="10" t="s">
        <v>1442</v>
      </c>
      <c r="E341" s="10" t="s">
        <v>1443</v>
      </c>
      <c r="F341" s="10">
        <v>35.935200000000002</v>
      </c>
      <c r="G341" s="10">
        <v>43.270099999999999</v>
      </c>
      <c r="H341" s="10" t="s">
        <v>443</v>
      </c>
      <c r="I341" s="10" t="s">
        <v>444</v>
      </c>
      <c r="J341" s="10" t="s">
        <v>1444</v>
      </c>
      <c r="K341" s="11">
        <v>150</v>
      </c>
      <c r="L341" s="11">
        <v>900</v>
      </c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>
        <v>150</v>
      </c>
      <c r="Z341" s="11"/>
      <c r="AA341" s="11"/>
      <c r="AB341" s="11"/>
      <c r="AC341" s="11"/>
      <c r="AD341" s="11"/>
      <c r="AE341" s="11"/>
      <c r="AF341" s="11">
        <v>150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>
        <v>150</v>
      </c>
      <c r="AW341" s="20" t="str">
        <f>HYPERLINK("http://www.openstreetmap.org/?mlat=35.9352&amp;mlon=43.2701&amp;zoom=12#map=12/35.9352/43.2701","Maplink1")</f>
        <v>Maplink1</v>
      </c>
      <c r="AX341" s="20" t="str">
        <f>HYPERLINK("https://www.google.iq/maps/search/+35.9352,43.2701/@35.9352,43.2701,14z?hl=en","Maplink2")</f>
        <v>Maplink2</v>
      </c>
      <c r="AY341" s="20" t="str">
        <f>HYPERLINK("http://www.bing.com/maps/?lvl=14&amp;sty=h&amp;cp=35.9352~43.2701&amp;sp=point.35.9352_43.2701","Maplink3")</f>
        <v>Maplink3</v>
      </c>
    </row>
    <row r="342" spans="1:51" x14ac:dyDescent="0.25">
      <c r="A342" s="9">
        <v>17965</v>
      </c>
      <c r="B342" s="10" t="s">
        <v>20</v>
      </c>
      <c r="C342" s="10" t="s">
        <v>441</v>
      </c>
      <c r="D342" s="10" t="s">
        <v>1445</v>
      </c>
      <c r="E342" s="10" t="s">
        <v>1446</v>
      </c>
      <c r="F342" s="10">
        <v>35.944699999999997</v>
      </c>
      <c r="G342" s="10">
        <v>43.317300000000003</v>
      </c>
      <c r="H342" s="10" t="s">
        <v>443</v>
      </c>
      <c r="I342" s="10" t="s">
        <v>444</v>
      </c>
      <c r="J342" s="10" t="s">
        <v>1447</v>
      </c>
      <c r="K342" s="11">
        <v>200</v>
      </c>
      <c r="L342" s="11">
        <v>1200</v>
      </c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>
        <v>200</v>
      </c>
      <c r="Z342" s="11"/>
      <c r="AA342" s="11"/>
      <c r="AB342" s="11"/>
      <c r="AC342" s="11"/>
      <c r="AD342" s="11"/>
      <c r="AE342" s="11"/>
      <c r="AF342" s="11">
        <v>200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>
        <v>200</v>
      </c>
      <c r="AW342" s="20" t="str">
        <f>HYPERLINK("http://www.openstreetmap.org/?mlat=35.9447&amp;mlon=43.3173&amp;zoom=12#map=12/35.9447/43.3173","Maplink1")</f>
        <v>Maplink1</v>
      </c>
      <c r="AX342" s="20" t="str">
        <f>HYPERLINK("https://www.google.iq/maps/search/+35.9447,43.3173/@35.9447,43.3173,14z?hl=en","Maplink2")</f>
        <v>Maplink2</v>
      </c>
      <c r="AY342" s="20" t="str">
        <f>HYPERLINK("http://www.bing.com/maps/?lvl=14&amp;sty=h&amp;cp=35.9447~43.3173&amp;sp=point.35.9447_43.3173","Maplink3")</f>
        <v>Maplink3</v>
      </c>
    </row>
    <row r="343" spans="1:51" x14ac:dyDescent="0.25">
      <c r="A343" s="9">
        <v>27396</v>
      </c>
      <c r="B343" s="10" t="s">
        <v>20</v>
      </c>
      <c r="C343" s="10" t="s">
        <v>448</v>
      </c>
      <c r="D343" s="10" t="s">
        <v>449</v>
      </c>
      <c r="E343" s="10" t="s">
        <v>450</v>
      </c>
      <c r="F343" s="10">
        <v>36.450074999999998</v>
      </c>
      <c r="G343" s="10">
        <v>41.771850000000001</v>
      </c>
      <c r="H343" s="10" t="s">
        <v>443</v>
      </c>
      <c r="I343" s="10" t="s">
        <v>451</v>
      </c>
      <c r="J343" s="10"/>
      <c r="K343" s="11">
        <v>146</v>
      </c>
      <c r="L343" s="11">
        <v>876</v>
      </c>
      <c r="M343" s="11"/>
      <c r="N343" s="11"/>
      <c r="O343" s="11"/>
      <c r="P343" s="11"/>
      <c r="Q343" s="11">
        <v>146</v>
      </c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>
        <v>146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>
        <v>146</v>
      </c>
      <c r="AS343" s="11"/>
      <c r="AT343" s="11"/>
      <c r="AU343" s="11"/>
      <c r="AV343" s="11"/>
      <c r="AW343" s="20" t="str">
        <f>HYPERLINK("http://www.openstreetmap.org/?mlat=36.4501&amp;mlon=41.7719&amp;zoom=12#map=12/36.4501/41.7719","Maplink1")</f>
        <v>Maplink1</v>
      </c>
      <c r="AX343" s="20" t="str">
        <f>HYPERLINK("https://www.google.iq/maps/search/+36.4501,41.7719/@36.4501,41.7719,14z?hl=en","Maplink2")</f>
        <v>Maplink2</v>
      </c>
      <c r="AY343" s="20" t="str">
        <f>HYPERLINK("http://www.bing.com/maps/?lvl=14&amp;sty=h&amp;cp=36.4501~41.7719&amp;sp=point.36.4501_41.7719","Maplink3")</f>
        <v>Maplink3</v>
      </c>
    </row>
    <row r="344" spans="1:51" x14ac:dyDescent="0.25">
      <c r="A344" s="9">
        <v>27403</v>
      </c>
      <c r="B344" s="10" t="s">
        <v>20</v>
      </c>
      <c r="C344" s="10" t="s">
        <v>448</v>
      </c>
      <c r="D344" s="10" t="s">
        <v>452</v>
      </c>
      <c r="E344" s="10" t="s">
        <v>453</v>
      </c>
      <c r="F344" s="10">
        <v>36.437987999999997</v>
      </c>
      <c r="G344" s="10">
        <v>41.711075000000001</v>
      </c>
      <c r="H344" s="10" t="s">
        <v>443</v>
      </c>
      <c r="I344" s="10" t="s">
        <v>451</v>
      </c>
      <c r="J344" s="10"/>
      <c r="K344" s="11">
        <v>156</v>
      </c>
      <c r="L344" s="11">
        <v>936</v>
      </c>
      <c r="M344" s="11"/>
      <c r="N344" s="11"/>
      <c r="O344" s="11"/>
      <c r="P344" s="11"/>
      <c r="Q344" s="11">
        <v>156</v>
      </c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>
        <v>156</v>
      </c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>
        <v>156</v>
      </c>
      <c r="AS344" s="11"/>
      <c r="AT344" s="11"/>
      <c r="AU344" s="11"/>
      <c r="AV344" s="11"/>
      <c r="AW344" s="20" t="str">
        <f>HYPERLINK("http://www.openstreetmap.org/?mlat=36.438&amp;mlon=41.7111&amp;zoom=12#map=12/36.438/41.7111","Maplink1")</f>
        <v>Maplink1</v>
      </c>
      <c r="AX344" s="20" t="str">
        <f>HYPERLINK("https://www.google.iq/maps/search/+36.438,41.7111/@36.438,41.7111,14z?hl=en","Maplink2")</f>
        <v>Maplink2</v>
      </c>
      <c r="AY344" s="20" t="str">
        <f>HYPERLINK("http://www.bing.com/maps/?lvl=14&amp;sty=h&amp;cp=36.438~41.7111&amp;sp=point.36.438_41.7111","Maplink3")</f>
        <v>Maplink3</v>
      </c>
    </row>
    <row r="345" spans="1:51" x14ac:dyDescent="0.25">
      <c r="A345" s="9">
        <v>28415</v>
      </c>
      <c r="B345" s="10" t="s">
        <v>20</v>
      </c>
      <c r="C345" s="10" t="s">
        <v>448</v>
      </c>
      <c r="D345" s="10" t="s">
        <v>454</v>
      </c>
      <c r="E345" s="10" t="s">
        <v>455</v>
      </c>
      <c r="F345" s="10">
        <v>36.428418000000001</v>
      </c>
      <c r="G345" s="10">
        <v>41.909446000000003</v>
      </c>
      <c r="H345" s="10" t="s">
        <v>443</v>
      </c>
      <c r="I345" s="10" t="s">
        <v>451</v>
      </c>
      <c r="J345" s="10"/>
      <c r="K345" s="11">
        <v>68</v>
      </c>
      <c r="L345" s="11">
        <v>408</v>
      </c>
      <c r="M345" s="11"/>
      <c r="N345" s="11"/>
      <c r="O345" s="11"/>
      <c r="P345" s="11"/>
      <c r="Q345" s="11">
        <v>68</v>
      </c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>
        <v>68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>
        <v>68</v>
      </c>
      <c r="AS345" s="11"/>
      <c r="AT345" s="11"/>
      <c r="AU345" s="11"/>
      <c r="AV345" s="11"/>
      <c r="AW345" s="20" t="str">
        <f>HYPERLINK("http://www.openstreetmap.org/?mlat=36.4284&amp;mlon=41.9094&amp;zoom=12#map=12/36.4284/41.9094","Maplink1")</f>
        <v>Maplink1</v>
      </c>
      <c r="AX345" s="20" t="str">
        <f>HYPERLINK("https://www.google.iq/maps/search/+36.4284,41.9094/@36.4284,41.9094,14z?hl=en","Maplink2")</f>
        <v>Maplink2</v>
      </c>
      <c r="AY345" s="20" t="str">
        <f>HYPERLINK("http://www.bing.com/maps/?lvl=14&amp;sty=h&amp;cp=36.4284~41.9094&amp;sp=point.36.4284_41.9094","Maplink3")</f>
        <v>Maplink3</v>
      </c>
    </row>
    <row r="346" spans="1:51" x14ac:dyDescent="0.25">
      <c r="A346" s="9">
        <v>27366</v>
      </c>
      <c r="B346" s="10" t="s">
        <v>20</v>
      </c>
      <c r="C346" s="10" t="s">
        <v>448</v>
      </c>
      <c r="D346" s="10" t="s">
        <v>456</v>
      </c>
      <c r="E346" s="10" t="s">
        <v>457</v>
      </c>
      <c r="F346" s="10">
        <v>36.372866999999999</v>
      </c>
      <c r="G346" s="10">
        <v>41.685724999999998</v>
      </c>
      <c r="H346" s="10" t="s">
        <v>443</v>
      </c>
      <c r="I346" s="10" t="s">
        <v>451</v>
      </c>
      <c r="J346" s="10"/>
      <c r="K346" s="11">
        <v>72</v>
      </c>
      <c r="L346" s="11">
        <v>432</v>
      </c>
      <c r="M346" s="11"/>
      <c r="N346" s="11"/>
      <c r="O346" s="11"/>
      <c r="P346" s="11"/>
      <c r="Q346" s="11">
        <v>72</v>
      </c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>
        <v>72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>
        <v>72</v>
      </c>
      <c r="AS346" s="11"/>
      <c r="AT346" s="11"/>
      <c r="AU346" s="11"/>
      <c r="AV346" s="11"/>
      <c r="AW346" s="20" t="str">
        <f>HYPERLINK("http://www.openstreetmap.org/?mlat=36.3729&amp;mlon=41.6857&amp;zoom=12#map=12/36.3729/41.6857","Maplink1")</f>
        <v>Maplink1</v>
      </c>
      <c r="AX346" s="20" t="str">
        <f>HYPERLINK("https://www.google.iq/maps/search/+36.3729,41.6857/@36.3729,41.6857,14z?hl=en","Maplink2")</f>
        <v>Maplink2</v>
      </c>
      <c r="AY346" s="20" t="str">
        <f>HYPERLINK("http://www.bing.com/maps/?lvl=14&amp;sty=h&amp;cp=36.3729~41.6857&amp;sp=point.36.3729_41.6857","Maplink3")</f>
        <v>Maplink3</v>
      </c>
    </row>
    <row r="347" spans="1:51" x14ac:dyDescent="0.25">
      <c r="A347" s="9">
        <v>28416</v>
      </c>
      <c r="B347" s="10" t="s">
        <v>20</v>
      </c>
      <c r="C347" s="10" t="s">
        <v>448</v>
      </c>
      <c r="D347" s="10" t="s">
        <v>458</v>
      </c>
      <c r="E347" s="10" t="s">
        <v>459</v>
      </c>
      <c r="F347" s="10">
        <v>36.451013000000003</v>
      </c>
      <c r="G347" s="10">
        <v>41.805731000000002</v>
      </c>
      <c r="H347" s="10" t="s">
        <v>443</v>
      </c>
      <c r="I347" s="10" t="s">
        <v>451</v>
      </c>
      <c r="J347" s="10"/>
      <c r="K347" s="11">
        <v>8</v>
      </c>
      <c r="L347" s="11">
        <v>48</v>
      </c>
      <c r="M347" s="11"/>
      <c r="N347" s="11"/>
      <c r="O347" s="11"/>
      <c r="P347" s="11"/>
      <c r="Q347" s="11">
        <v>8</v>
      </c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>
        <v>8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>
        <v>8</v>
      </c>
      <c r="AS347" s="11"/>
      <c r="AT347" s="11"/>
      <c r="AU347" s="11"/>
      <c r="AV347" s="11"/>
      <c r="AW347" s="20" t="str">
        <f>HYPERLINK("http://www.openstreetmap.org/?mlat=36.451&amp;mlon=41.8057&amp;zoom=12#map=12/36.451/41.8057","Maplink1")</f>
        <v>Maplink1</v>
      </c>
      <c r="AX347" s="20" t="str">
        <f>HYPERLINK("https://www.google.iq/maps/search/+36.451,41.8057/@36.451,41.8057,14z?hl=en","Maplink2")</f>
        <v>Maplink2</v>
      </c>
      <c r="AY347" s="20" t="str">
        <f>HYPERLINK("http://www.bing.com/maps/?lvl=14&amp;sty=h&amp;cp=36.451~41.8057&amp;sp=point.36.451_41.8057","Maplink3")</f>
        <v>Maplink3</v>
      </c>
    </row>
    <row r="348" spans="1:51" x14ac:dyDescent="0.25">
      <c r="A348" s="9">
        <v>27360</v>
      </c>
      <c r="B348" s="10" t="s">
        <v>20</v>
      </c>
      <c r="C348" s="10" t="s">
        <v>448</v>
      </c>
      <c r="D348" s="10" t="s">
        <v>863</v>
      </c>
      <c r="E348" s="10" t="s">
        <v>864</v>
      </c>
      <c r="F348" s="10">
        <v>36.375472000000002</v>
      </c>
      <c r="G348" s="10">
        <v>41.484878000000002</v>
      </c>
      <c r="H348" s="10" t="s">
        <v>443</v>
      </c>
      <c r="I348" s="10" t="s">
        <v>451</v>
      </c>
      <c r="J348" s="10"/>
      <c r="K348" s="11">
        <v>35</v>
      </c>
      <c r="L348" s="11">
        <v>210</v>
      </c>
      <c r="M348" s="11"/>
      <c r="N348" s="11"/>
      <c r="O348" s="11"/>
      <c r="P348" s="11"/>
      <c r="Q348" s="11">
        <v>35</v>
      </c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>
        <v>35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>
        <v>35</v>
      </c>
      <c r="AS348" s="11"/>
      <c r="AT348" s="11"/>
      <c r="AU348" s="11"/>
      <c r="AV348" s="11"/>
      <c r="AW348" s="20" t="str">
        <f>HYPERLINK("http://www.openstreetmap.org/?mlat=36.3755&amp;mlon=41.4849&amp;zoom=12#map=12/36.3755/41.4849","Maplink1")</f>
        <v>Maplink1</v>
      </c>
      <c r="AX348" s="20" t="str">
        <f>HYPERLINK("https://www.google.iq/maps/search/+36.3755,41.4849/@36.3755,41.4849,14z?hl=en","Maplink2")</f>
        <v>Maplink2</v>
      </c>
      <c r="AY348" s="20" t="str">
        <f>HYPERLINK("http://www.bing.com/maps/?lvl=14&amp;sty=h&amp;cp=36.3755~41.4849&amp;sp=point.36.3755_41.4849","Maplink3")</f>
        <v>Maplink3</v>
      </c>
    </row>
    <row r="349" spans="1:51" x14ac:dyDescent="0.25">
      <c r="A349" s="9">
        <v>27365</v>
      </c>
      <c r="B349" s="10" t="s">
        <v>20</v>
      </c>
      <c r="C349" s="10" t="s">
        <v>448</v>
      </c>
      <c r="D349" s="10" t="s">
        <v>460</v>
      </c>
      <c r="E349" s="10" t="s">
        <v>461</v>
      </c>
      <c r="F349" s="10">
        <v>36.417622999999999</v>
      </c>
      <c r="G349" s="10">
        <v>41.911800999999997</v>
      </c>
      <c r="H349" s="10" t="s">
        <v>443</v>
      </c>
      <c r="I349" s="10" t="s">
        <v>451</v>
      </c>
      <c r="J349" s="10"/>
      <c r="K349" s="11">
        <v>36</v>
      </c>
      <c r="L349" s="11">
        <v>216</v>
      </c>
      <c r="M349" s="11"/>
      <c r="N349" s="11"/>
      <c r="O349" s="11"/>
      <c r="P349" s="11"/>
      <c r="Q349" s="11">
        <v>36</v>
      </c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>
        <v>36</v>
      </c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>
        <v>36</v>
      </c>
      <c r="AS349" s="11"/>
      <c r="AT349" s="11"/>
      <c r="AU349" s="11"/>
      <c r="AV349" s="11"/>
      <c r="AW349" s="20" t="str">
        <f>HYPERLINK("http://www.openstreetmap.org/?mlat=36.4176&amp;mlon=41.9118&amp;zoom=12#map=12/36.4176/41.9118","Maplink1")</f>
        <v>Maplink1</v>
      </c>
      <c r="AX349" s="20" t="str">
        <f>HYPERLINK("https://www.google.iq/maps/search/+36.4176,41.9118/@36.4176,41.9118,14z?hl=en","Maplink2")</f>
        <v>Maplink2</v>
      </c>
      <c r="AY349" s="20" t="str">
        <f>HYPERLINK("http://www.bing.com/maps/?lvl=14&amp;sty=h&amp;cp=36.4176~41.9118&amp;sp=point.36.4176_41.9118","Maplink3")</f>
        <v>Maplink3</v>
      </c>
    </row>
    <row r="350" spans="1:51" x14ac:dyDescent="0.25">
      <c r="A350" s="9">
        <v>17720</v>
      </c>
      <c r="B350" s="10" t="s">
        <v>20</v>
      </c>
      <c r="C350" s="10" t="s">
        <v>448</v>
      </c>
      <c r="D350" s="10" t="s">
        <v>462</v>
      </c>
      <c r="E350" s="10" t="s">
        <v>463</v>
      </c>
      <c r="F350" s="10">
        <v>36.537849000000001</v>
      </c>
      <c r="G350" s="10">
        <v>41.707028999999999</v>
      </c>
      <c r="H350" s="10" t="s">
        <v>443</v>
      </c>
      <c r="I350" s="10" t="s">
        <v>451</v>
      </c>
      <c r="J350" s="10" t="s">
        <v>464</v>
      </c>
      <c r="K350" s="11">
        <v>15</v>
      </c>
      <c r="L350" s="11">
        <v>90</v>
      </c>
      <c r="M350" s="11"/>
      <c r="N350" s="11"/>
      <c r="O350" s="11"/>
      <c r="P350" s="11"/>
      <c r="Q350" s="11">
        <v>15</v>
      </c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>
        <v>15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>
        <v>15</v>
      </c>
      <c r="AS350" s="11"/>
      <c r="AT350" s="11"/>
      <c r="AU350" s="11"/>
      <c r="AV350" s="11"/>
      <c r="AW350" s="20" t="str">
        <f>HYPERLINK("http://www.openstreetmap.org/?mlat=36.5378&amp;mlon=41.707&amp;zoom=12#map=12/36.5378/41.707","Maplink1")</f>
        <v>Maplink1</v>
      </c>
      <c r="AX350" s="20" t="str">
        <f>HYPERLINK("https://www.google.iq/maps/search/+36.5378,41.707/@36.5378,41.707,14z?hl=en","Maplink2")</f>
        <v>Maplink2</v>
      </c>
      <c r="AY350" s="20" t="str">
        <f>HYPERLINK("http://www.bing.com/maps/?lvl=14&amp;sty=h&amp;cp=36.5378~41.707&amp;sp=point.36.5378_41.707","Maplink3")</f>
        <v>Maplink3</v>
      </c>
    </row>
    <row r="351" spans="1:51" x14ac:dyDescent="0.25">
      <c r="A351" s="9">
        <v>27285</v>
      </c>
      <c r="B351" s="10" t="s">
        <v>20</v>
      </c>
      <c r="C351" s="10" t="s">
        <v>448</v>
      </c>
      <c r="D351" s="10" t="s">
        <v>1142</v>
      </c>
      <c r="E351" s="10" t="s">
        <v>465</v>
      </c>
      <c r="F351" s="10">
        <v>36.496307999999999</v>
      </c>
      <c r="G351" s="10">
        <v>41.868706000000003</v>
      </c>
      <c r="H351" s="10" t="s">
        <v>443</v>
      </c>
      <c r="I351" s="10" t="s">
        <v>451</v>
      </c>
      <c r="J351" s="10"/>
      <c r="K351" s="11">
        <v>910</v>
      </c>
      <c r="L351" s="11">
        <v>5460</v>
      </c>
      <c r="M351" s="11"/>
      <c r="N351" s="11"/>
      <c r="O351" s="11"/>
      <c r="P351" s="11"/>
      <c r="Q351" s="11">
        <v>910</v>
      </c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>
        <v>910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>
        <v>910</v>
      </c>
      <c r="AS351" s="11"/>
      <c r="AT351" s="11"/>
      <c r="AU351" s="11"/>
      <c r="AV351" s="11"/>
      <c r="AW351" s="20" t="str">
        <f>HYPERLINK("http://www.openstreetmap.org/?mlat=36.4963&amp;mlon=41.8687&amp;zoom=12#map=12/36.4963/41.8687","Maplink1")</f>
        <v>Maplink1</v>
      </c>
      <c r="AX351" s="20" t="str">
        <f>HYPERLINK("https://www.google.iq/maps/search/+36.4963,41.8687/@36.4963,41.8687,14z?hl=en","Maplink2")</f>
        <v>Maplink2</v>
      </c>
      <c r="AY351" s="20" t="str">
        <f>HYPERLINK("http://www.bing.com/maps/?lvl=14&amp;sty=h&amp;cp=36.4963~41.8687&amp;sp=point.36.4963_41.8687","Maplink3")</f>
        <v>Maplink3</v>
      </c>
    </row>
    <row r="352" spans="1:51" x14ac:dyDescent="0.25">
      <c r="A352" s="9">
        <v>27398</v>
      </c>
      <c r="B352" s="10" t="s">
        <v>20</v>
      </c>
      <c r="C352" s="10" t="s">
        <v>448</v>
      </c>
      <c r="D352" s="10" t="s">
        <v>466</v>
      </c>
      <c r="E352" s="10" t="s">
        <v>467</v>
      </c>
      <c r="F352" s="10">
        <v>36.395296000000002</v>
      </c>
      <c r="G352" s="10">
        <v>41.856828999999998</v>
      </c>
      <c r="H352" s="10" t="s">
        <v>443</v>
      </c>
      <c r="I352" s="10" t="s">
        <v>451</v>
      </c>
      <c r="J352" s="10"/>
      <c r="K352" s="11">
        <v>3</v>
      </c>
      <c r="L352" s="11">
        <v>18</v>
      </c>
      <c r="M352" s="11"/>
      <c r="N352" s="11"/>
      <c r="O352" s="11"/>
      <c r="P352" s="11"/>
      <c r="Q352" s="11">
        <v>3</v>
      </c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>
        <v>3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>
        <v>3</v>
      </c>
      <c r="AS352" s="11"/>
      <c r="AT352" s="11"/>
      <c r="AU352" s="11"/>
      <c r="AV352" s="11"/>
      <c r="AW352" s="20" t="str">
        <f>HYPERLINK("http://www.openstreetmap.org/?mlat=36.3953&amp;mlon=41.8568&amp;zoom=12#map=12/36.3953/41.8568","Maplink1")</f>
        <v>Maplink1</v>
      </c>
      <c r="AX352" s="20" t="str">
        <f>HYPERLINK("https://www.google.iq/maps/search/+36.3953,41.8568/@36.3953,41.8568,14z?hl=en","Maplink2")</f>
        <v>Maplink2</v>
      </c>
      <c r="AY352" s="20" t="str">
        <f>HYPERLINK("http://www.bing.com/maps/?lvl=14&amp;sty=h&amp;cp=36.3953~41.8568&amp;sp=point.36.3953_41.8568","Maplink3")</f>
        <v>Maplink3</v>
      </c>
    </row>
    <row r="353" spans="1:51" x14ac:dyDescent="0.25">
      <c r="A353" s="9">
        <v>28418</v>
      </c>
      <c r="B353" s="10" t="s">
        <v>20</v>
      </c>
      <c r="C353" s="10" t="s">
        <v>448</v>
      </c>
      <c r="D353" s="10" t="s">
        <v>468</v>
      </c>
      <c r="E353" s="10" t="s">
        <v>469</v>
      </c>
      <c r="F353" s="10">
        <v>36.376939999999998</v>
      </c>
      <c r="G353" s="10">
        <v>41.720059999999997</v>
      </c>
      <c r="H353" s="10" t="s">
        <v>443</v>
      </c>
      <c r="I353" s="10" t="s">
        <v>451</v>
      </c>
      <c r="J353" s="10"/>
      <c r="K353" s="11">
        <v>5</v>
      </c>
      <c r="L353" s="11">
        <v>30</v>
      </c>
      <c r="M353" s="11"/>
      <c r="N353" s="11"/>
      <c r="O353" s="11"/>
      <c r="P353" s="11"/>
      <c r="Q353" s="11">
        <v>5</v>
      </c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>
        <v>5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>
        <v>5</v>
      </c>
      <c r="AS353" s="11"/>
      <c r="AT353" s="11"/>
      <c r="AU353" s="11"/>
      <c r="AV353" s="11"/>
      <c r="AW353" s="20" t="str">
        <f>HYPERLINK("http://www.openstreetmap.org/?mlat=36.3769&amp;mlon=41.7201&amp;zoom=12#map=12/36.3769/41.7201","Maplink1")</f>
        <v>Maplink1</v>
      </c>
      <c r="AX353" s="20" t="str">
        <f>HYPERLINK("https://www.google.iq/maps/search/+36.3769,41.7201/@36.3769,41.7201,14z?hl=en","Maplink2")</f>
        <v>Maplink2</v>
      </c>
      <c r="AY353" s="20" t="str">
        <f>HYPERLINK("http://www.bing.com/maps/?lvl=14&amp;sty=h&amp;cp=36.3769~41.7201&amp;sp=point.36.3769_41.7201","Maplink3")</f>
        <v>Maplink3</v>
      </c>
    </row>
    <row r="354" spans="1:51" x14ac:dyDescent="0.25">
      <c r="A354" s="9">
        <v>27284</v>
      </c>
      <c r="B354" s="10" t="s">
        <v>20</v>
      </c>
      <c r="C354" s="10" t="s">
        <v>448</v>
      </c>
      <c r="D354" s="10" t="s">
        <v>470</v>
      </c>
      <c r="E354" s="10" t="s">
        <v>471</v>
      </c>
      <c r="F354" s="10">
        <v>36.492364000000002</v>
      </c>
      <c r="G354" s="10">
        <v>41.813392</v>
      </c>
      <c r="H354" s="10" t="s">
        <v>443</v>
      </c>
      <c r="I354" s="10" t="s">
        <v>451</v>
      </c>
      <c r="J354" s="10"/>
      <c r="K354" s="11">
        <v>356</v>
      </c>
      <c r="L354" s="11">
        <v>2136</v>
      </c>
      <c r="M354" s="11"/>
      <c r="N354" s="11"/>
      <c r="O354" s="11"/>
      <c r="P354" s="11"/>
      <c r="Q354" s="11">
        <v>356</v>
      </c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>
        <v>356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>
        <v>356</v>
      </c>
      <c r="AS354" s="11"/>
      <c r="AT354" s="11"/>
      <c r="AU354" s="11"/>
      <c r="AV354" s="11"/>
      <c r="AW354" s="20" t="str">
        <f>HYPERLINK("http://www.openstreetmap.org/?mlat=36.4924&amp;mlon=41.8134&amp;zoom=12#map=12/36.4924/41.8134","Maplink1")</f>
        <v>Maplink1</v>
      </c>
      <c r="AX354" s="20" t="str">
        <f>HYPERLINK("https://www.google.iq/maps/search/+36.4924,41.8134/@36.4924,41.8134,14z?hl=en","Maplink2")</f>
        <v>Maplink2</v>
      </c>
      <c r="AY354" s="20" t="str">
        <f>HYPERLINK("http://www.bing.com/maps/?lvl=14&amp;sty=h&amp;cp=36.4924~41.8134&amp;sp=point.36.4924_41.8134","Maplink3")</f>
        <v>Maplink3</v>
      </c>
    </row>
    <row r="355" spans="1:51" x14ac:dyDescent="0.25">
      <c r="A355" s="9">
        <v>27283</v>
      </c>
      <c r="B355" s="10" t="s">
        <v>20</v>
      </c>
      <c r="C355" s="10" t="s">
        <v>448</v>
      </c>
      <c r="D355" s="10" t="s">
        <v>472</v>
      </c>
      <c r="E355" s="10" t="s">
        <v>473</v>
      </c>
      <c r="F355" s="10">
        <v>36.475532999999999</v>
      </c>
      <c r="G355" s="10">
        <v>41.746789</v>
      </c>
      <c r="H355" s="10" t="s">
        <v>443</v>
      </c>
      <c r="I355" s="10" t="s">
        <v>451</v>
      </c>
      <c r="J355" s="10"/>
      <c r="K355" s="11">
        <v>180</v>
      </c>
      <c r="L355" s="11">
        <v>1080</v>
      </c>
      <c r="M355" s="11"/>
      <c r="N355" s="11"/>
      <c r="O355" s="11"/>
      <c r="P355" s="11"/>
      <c r="Q355" s="11">
        <v>180</v>
      </c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>
        <v>180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>
        <v>180</v>
      </c>
      <c r="AS355" s="11"/>
      <c r="AT355" s="11"/>
      <c r="AU355" s="11"/>
      <c r="AV355" s="11"/>
      <c r="AW355" s="20" t="str">
        <f>HYPERLINK("http://www.openstreetmap.org/?mlat=36.4755&amp;mlon=41.7468&amp;zoom=12#map=12/36.4755/41.7468","Maplink1")</f>
        <v>Maplink1</v>
      </c>
      <c r="AX355" s="20" t="str">
        <f>HYPERLINK("https://www.google.iq/maps/search/+36.4755,41.7468/@36.4755,41.7468,14z?hl=en","Maplink2")</f>
        <v>Maplink2</v>
      </c>
      <c r="AY355" s="20" t="str">
        <f>HYPERLINK("http://www.bing.com/maps/?lvl=14&amp;sty=h&amp;cp=36.4755~41.7468&amp;sp=point.36.4755_41.7468","Maplink3")</f>
        <v>Maplink3</v>
      </c>
    </row>
    <row r="356" spans="1:51" x14ac:dyDescent="0.25">
      <c r="A356" s="9">
        <v>28417</v>
      </c>
      <c r="B356" s="10" t="s">
        <v>20</v>
      </c>
      <c r="C356" s="10" t="s">
        <v>448</v>
      </c>
      <c r="D356" s="10" t="s">
        <v>474</v>
      </c>
      <c r="E356" s="10" t="s">
        <v>475</v>
      </c>
      <c r="F356" s="10">
        <v>36.423960000000001</v>
      </c>
      <c r="G356" s="10">
        <v>42.034978000000002</v>
      </c>
      <c r="H356" s="10" t="s">
        <v>443</v>
      </c>
      <c r="I356" s="10" t="s">
        <v>451</v>
      </c>
      <c r="J356" s="10"/>
      <c r="K356" s="11">
        <v>8</v>
      </c>
      <c r="L356" s="11">
        <v>48</v>
      </c>
      <c r="M356" s="11"/>
      <c r="N356" s="11"/>
      <c r="O356" s="11"/>
      <c r="P356" s="11"/>
      <c r="Q356" s="11">
        <v>8</v>
      </c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>
        <v>8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>
        <v>8</v>
      </c>
      <c r="AS356" s="11"/>
      <c r="AT356" s="11"/>
      <c r="AU356" s="11"/>
      <c r="AV356" s="11"/>
      <c r="AW356" s="20" t="str">
        <f>HYPERLINK("http://www.openstreetmap.org/?mlat=36.424&amp;mlon=42.035&amp;zoom=12#map=12/36.424/42.035","Maplink1")</f>
        <v>Maplink1</v>
      </c>
      <c r="AX356" s="20" t="str">
        <f>HYPERLINK("https://www.google.iq/maps/search/+36.424,42.035/@36.424,42.035,14z?hl=en","Maplink2")</f>
        <v>Maplink2</v>
      </c>
      <c r="AY356" s="20" t="str">
        <f>HYPERLINK("http://www.bing.com/maps/?lvl=14&amp;sty=h&amp;cp=36.424~42.035&amp;sp=point.36.424_42.035","Maplink3")</f>
        <v>Maplink3</v>
      </c>
    </row>
    <row r="357" spans="1:51" x14ac:dyDescent="0.25">
      <c r="A357" s="9">
        <v>28447</v>
      </c>
      <c r="B357" s="10" t="s">
        <v>20</v>
      </c>
      <c r="C357" s="10" t="s">
        <v>448</v>
      </c>
      <c r="D357" s="10" t="s">
        <v>476</v>
      </c>
      <c r="E357" s="10" t="s">
        <v>477</v>
      </c>
      <c r="F357" s="10">
        <v>36.454672000000002</v>
      </c>
      <c r="G357" s="10">
        <v>41.859904</v>
      </c>
      <c r="H357" s="10" t="s">
        <v>443</v>
      </c>
      <c r="I357" s="10" t="s">
        <v>451</v>
      </c>
      <c r="J357" s="10"/>
      <c r="K357" s="11">
        <v>40</v>
      </c>
      <c r="L357" s="11">
        <v>240</v>
      </c>
      <c r="M357" s="11"/>
      <c r="N357" s="11"/>
      <c r="O357" s="11"/>
      <c r="P357" s="11"/>
      <c r="Q357" s="11">
        <v>40</v>
      </c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>
        <v>40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>
        <v>40</v>
      </c>
      <c r="AS357" s="11"/>
      <c r="AT357" s="11"/>
      <c r="AU357" s="11"/>
      <c r="AV357" s="11"/>
      <c r="AW357" s="20" t="str">
        <f>HYPERLINK("http://www.openstreetmap.org/?mlat=36.4547&amp;mlon=41.8599&amp;zoom=12#map=12/36.4547/41.8599","Maplink1")</f>
        <v>Maplink1</v>
      </c>
      <c r="AX357" s="20" t="str">
        <f>HYPERLINK("https://www.google.iq/maps/search/+36.4547,41.8599/@36.4547,41.8599,14z?hl=en","Maplink2")</f>
        <v>Maplink2</v>
      </c>
      <c r="AY357" s="20" t="str">
        <f>HYPERLINK("http://www.bing.com/maps/?lvl=14&amp;sty=h&amp;cp=36.4547~41.8599&amp;sp=point.36.4547_41.8599","Maplink3")</f>
        <v>Maplink3</v>
      </c>
    </row>
    <row r="358" spans="1:51" x14ac:dyDescent="0.25">
      <c r="A358" s="9">
        <v>18048</v>
      </c>
      <c r="B358" s="10" t="s">
        <v>20</v>
      </c>
      <c r="C358" s="10" t="s">
        <v>448</v>
      </c>
      <c r="D358" s="10" t="s">
        <v>1143</v>
      </c>
      <c r="E358" s="10" t="s">
        <v>478</v>
      </c>
      <c r="F358" s="10">
        <v>36.514341999999999</v>
      </c>
      <c r="G358" s="10">
        <v>41.962691999999997</v>
      </c>
      <c r="H358" s="10" t="s">
        <v>443</v>
      </c>
      <c r="I358" s="10" t="s">
        <v>451</v>
      </c>
      <c r="J358" s="10" t="s">
        <v>479</v>
      </c>
      <c r="K358" s="11">
        <v>294</v>
      </c>
      <c r="L358" s="11">
        <v>1764</v>
      </c>
      <c r="M358" s="11"/>
      <c r="N358" s="11"/>
      <c r="O358" s="11"/>
      <c r="P358" s="11"/>
      <c r="Q358" s="11">
        <v>294</v>
      </c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>
        <v>294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>
        <v>294</v>
      </c>
      <c r="AS358" s="11"/>
      <c r="AT358" s="11"/>
      <c r="AU358" s="11"/>
      <c r="AV358" s="11"/>
      <c r="AW358" s="20" t="str">
        <f>HYPERLINK("http://www.openstreetmap.org/?mlat=36.5143&amp;mlon=41.9627&amp;zoom=12#map=12/36.5143/41.9627","Maplink1")</f>
        <v>Maplink1</v>
      </c>
      <c r="AX358" s="20" t="str">
        <f>HYPERLINK("https://www.google.iq/maps/search/+36.5143,41.9627/@36.5143,41.9627,14z?hl=en","Maplink2")</f>
        <v>Maplink2</v>
      </c>
      <c r="AY358" s="20" t="str">
        <f>HYPERLINK("http://www.bing.com/maps/?lvl=14&amp;sty=h&amp;cp=36.5143~41.9627&amp;sp=point.36.5143_41.9627","Maplink3")</f>
        <v>Maplink3</v>
      </c>
    </row>
    <row r="359" spans="1:51" x14ac:dyDescent="0.25">
      <c r="A359" s="9">
        <v>27401</v>
      </c>
      <c r="B359" s="10" t="s">
        <v>20</v>
      </c>
      <c r="C359" s="10" t="s">
        <v>448</v>
      </c>
      <c r="D359" s="10" t="s">
        <v>480</v>
      </c>
      <c r="E359" s="10" t="s">
        <v>481</v>
      </c>
      <c r="F359" s="10">
        <v>36.380220999999999</v>
      </c>
      <c r="G359" s="10">
        <v>41.631154000000002</v>
      </c>
      <c r="H359" s="10" t="s">
        <v>443</v>
      </c>
      <c r="I359" s="10" t="s">
        <v>451</v>
      </c>
      <c r="J359" s="10"/>
      <c r="K359" s="11">
        <v>42</v>
      </c>
      <c r="L359" s="11">
        <v>252</v>
      </c>
      <c r="M359" s="11"/>
      <c r="N359" s="11"/>
      <c r="O359" s="11"/>
      <c r="P359" s="11"/>
      <c r="Q359" s="11">
        <v>42</v>
      </c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>
        <v>42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>
        <v>42</v>
      </c>
      <c r="AS359" s="11"/>
      <c r="AT359" s="11"/>
      <c r="AU359" s="11"/>
      <c r="AV359" s="11"/>
      <c r="AW359" s="20" t="str">
        <f>HYPERLINK("http://www.openstreetmap.org/?mlat=36.3802&amp;mlon=41.6312&amp;zoom=12#map=12/36.3802/41.6312","Maplink1")</f>
        <v>Maplink1</v>
      </c>
      <c r="AX359" s="20" t="str">
        <f>HYPERLINK("https://www.google.iq/maps/search/+36.3802,41.6312/@36.3802,41.6312,14z?hl=en","Maplink2")</f>
        <v>Maplink2</v>
      </c>
      <c r="AY359" s="20" t="str">
        <f>HYPERLINK("http://www.bing.com/maps/?lvl=14&amp;sty=h&amp;cp=36.3802~41.6312&amp;sp=point.36.3802_41.6312","Maplink3")</f>
        <v>Maplink3</v>
      </c>
    </row>
    <row r="360" spans="1:51" x14ac:dyDescent="0.25">
      <c r="A360" s="9">
        <v>22490</v>
      </c>
      <c r="B360" s="10" t="s">
        <v>20</v>
      </c>
      <c r="C360" s="10" t="s">
        <v>448</v>
      </c>
      <c r="D360" s="10" t="s">
        <v>482</v>
      </c>
      <c r="E360" s="10" t="s">
        <v>483</v>
      </c>
      <c r="F360" s="10">
        <v>36.314427999999999</v>
      </c>
      <c r="G360" s="10">
        <v>41.862008000000003</v>
      </c>
      <c r="H360" s="10" t="s">
        <v>443</v>
      </c>
      <c r="I360" s="10" t="s">
        <v>451</v>
      </c>
      <c r="J360" s="10" t="s">
        <v>484</v>
      </c>
      <c r="K360" s="11">
        <v>70</v>
      </c>
      <c r="L360" s="11">
        <v>420</v>
      </c>
      <c r="M360" s="11"/>
      <c r="N360" s="11"/>
      <c r="O360" s="11"/>
      <c r="P360" s="11"/>
      <c r="Q360" s="11">
        <v>70</v>
      </c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>
        <v>70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>
        <v>70</v>
      </c>
      <c r="AS360" s="11"/>
      <c r="AT360" s="11"/>
      <c r="AU360" s="11"/>
      <c r="AV360" s="11"/>
      <c r="AW360" s="20" t="str">
        <f>HYPERLINK("http://www.openstreetmap.org/?mlat=36.3144&amp;mlon=41.862&amp;zoom=12#map=12/36.3144/41.862","Maplink1")</f>
        <v>Maplink1</v>
      </c>
      <c r="AX360" s="20" t="str">
        <f>HYPERLINK("https://www.google.iq/maps/search/+36.3144,41.862/@36.3144,41.862,14z?hl=en","Maplink2")</f>
        <v>Maplink2</v>
      </c>
      <c r="AY360" s="20" t="str">
        <f>HYPERLINK("http://www.bing.com/maps/?lvl=14&amp;sty=h&amp;cp=36.3144~41.862&amp;sp=point.36.3144_41.862","Maplink3")</f>
        <v>Maplink3</v>
      </c>
    </row>
    <row r="361" spans="1:51" x14ac:dyDescent="0.25">
      <c r="A361" s="9">
        <v>22487</v>
      </c>
      <c r="B361" s="10" t="s">
        <v>20</v>
      </c>
      <c r="C361" s="10" t="s">
        <v>448</v>
      </c>
      <c r="D361" s="10" t="s">
        <v>1144</v>
      </c>
      <c r="E361" s="10" t="s">
        <v>1145</v>
      </c>
      <c r="F361" s="10">
        <v>36.31653</v>
      </c>
      <c r="G361" s="10">
        <v>41.855130000000003</v>
      </c>
      <c r="H361" s="10" t="s">
        <v>443</v>
      </c>
      <c r="I361" s="10" t="s">
        <v>451</v>
      </c>
      <c r="J361" s="10" t="s">
        <v>1146</v>
      </c>
      <c r="K361" s="11">
        <v>34</v>
      </c>
      <c r="L361" s="11">
        <v>204</v>
      </c>
      <c r="M361" s="11"/>
      <c r="N361" s="11"/>
      <c r="O361" s="11"/>
      <c r="P361" s="11"/>
      <c r="Q361" s="11">
        <v>34</v>
      </c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>
        <v>34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34</v>
      </c>
      <c r="AS361" s="11"/>
      <c r="AT361" s="11"/>
      <c r="AU361" s="11"/>
      <c r="AV361" s="11"/>
      <c r="AW361" s="20" t="str">
        <f>HYPERLINK("http://www.openstreetmap.org/?mlat=36.3165&amp;mlon=41.8551&amp;zoom=12#map=12/36.3165/41.8551","Maplink1")</f>
        <v>Maplink1</v>
      </c>
      <c r="AX361" s="20" t="str">
        <f>HYPERLINK("https://www.google.iq/maps/search/+36.3165,41.8551/@36.3165,41.8551,14z?hl=en","Maplink2")</f>
        <v>Maplink2</v>
      </c>
      <c r="AY361" s="20" t="str">
        <f>HYPERLINK("http://www.bing.com/maps/?lvl=14&amp;sty=h&amp;cp=36.3165~41.8551&amp;sp=point.36.3165_41.8551","Maplink3")</f>
        <v>Maplink3</v>
      </c>
    </row>
    <row r="362" spans="1:51" x14ac:dyDescent="0.25">
      <c r="A362" s="9">
        <v>22484</v>
      </c>
      <c r="B362" s="10" t="s">
        <v>20</v>
      </c>
      <c r="C362" s="10" t="s">
        <v>448</v>
      </c>
      <c r="D362" s="10" t="s">
        <v>961</v>
      </c>
      <c r="E362" s="10" t="s">
        <v>962</v>
      </c>
      <c r="F362" s="10">
        <v>36.332979999999999</v>
      </c>
      <c r="G362" s="10">
        <v>41.8568</v>
      </c>
      <c r="H362" s="10" t="s">
        <v>443</v>
      </c>
      <c r="I362" s="10" t="s">
        <v>451</v>
      </c>
      <c r="J362" s="10" t="s">
        <v>963</v>
      </c>
      <c r="K362" s="11">
        <v>45</v>
      </c>
      <c r="L362" s="11">
        <v>270</v>
      </c>
      <c r="M362" s="11"/>
      <c r="N362" s="11"/>
      <c r="O362" s="11"/>
      <c r="P362" s="11"/>
      <c r="Q362" s="11">
        <v>45</v>
      </c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>
        <v>45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>
        <v>45</v>
      </c>
      <c r="AS362" s="11"/>
      <c r="AT362" s="11"/>
      <c r="AU362" s="11"/>
      <c r="AV362" s="11"/>
      <c r="AW362" s="20" t="str">
        <f>HYPERLINK("http://www.openstreetmap.org/?mlat=36.333&amp;mlon=41.8568&amp;zoom=12#map=12/36.333/41.8568","Maplink1")</f>
        <v>Maplink1</v>
      </c>
      <c r="AX362" s="20" t="str">
        <f>HYPERLINK("https://www.google.iq/maps/search/+36.333,41.8568/@36.333,41.8568,14z?hl=en","Maplink2")</f>
        <v>Maplink2</v>
      </c>
      <c r="AY362" s="20" t="str">
        <f>HYPERLINK("http://www.bing.com/maps/?lvl=14&amp;sty=h&amp;cp=36.333~41.8568&amp;sp=point.36.333_41.8568","Maplink3")</f>
        <v>Maplink3</v>
      </c>
    </row>
    <row r="363" spans="1:51" x14ac:dyDescent="0.25">
      <c r="A363" s="9">
        <v>27288</v>
      </c>
      <c r="B363" s="10" t="s">
        <v>20</v>
      </c>
      <c r="C363" s="10" t="s">
        <v>448</v>
      </c>
      <c r="D363" s="10" t="s">
        <v>485</v>
      </c>
      <c r="E363" s="10" t="s">
        <v>486</v>
      </c>
      <c r="F363" s="10">
        <v>36.376655999999997</v>
      </c>
      <c r="G363" s="10">
        <v>41.686521999999997</v>
      </c>
      <c r="H363" s="10" t="s">
        <v>443</v>
      </c>
      <c r="I363" s="10" t="s">
        <v>451</v>
      </c>
      <c r="J363" s="10"/>
      <c r="K363" s="11">
        <v>112</v>
      </c>
      <c r="L363" s="11">
        <v>672</v>
      </c>
      <c r="M363" s="11"/>
      <c r="N363" s="11"/>
      <c r="O363" s="11"/>
      <c r="P363" s="11"/>
      <c r="Q363" s="11">
        <v>112</v>
      </c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>
        <v>112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112</v>
      </c>
      <c r="AS363" s="11"/>
      <c r="AT363" s="11"/>
      <c r="AU363" s="11"/>
      <c r="AV363" s="11"/>
      <c r="AW363" s="20" t="str">
        <f>HYPERLINK("http://www.openstreetmap.org/?mlat=36.3767&amp;mlon=41.6865&amp;zoom=12#map=12/36.3767/41.6865","Maplink1")</f>
        <v>Maplink1</v>
      </c>
      <c r="AX363" s="20" t="str">
        <f>HYPERLINK("https://www.google.iq/maps/search/+36.3767,41.6865/@36.3767,41.6865,14z?hl=en","Maplink2")</f>
        <v>Maplink2</v>
      </c>
      <c r="AY363" s="20" t="str">
        <f>HYPERLINK("http://www.bing.com/maps/?lvl=14&amp;sty=h&amp;cp=36.3767~41.6865&amp;sp=point.36.3767_41.6865","Maplink3")</f>
        <v>Maplink3</v>
      </c>
    </row>
    <row r="364" spans="1:51" x14ac:dyDescent="0.25">
      <c r="A364" s="9">
        <v>17845</v>
      </c>
      <c r="B364" s="10" t="s">
        <v>20</v>
      </c>
      <c r="C364" s="10" t="s">
        <v>448</v>
      </c>
      <c r="D364" s="10" t="s">
        <v>753</v>
      </c>
      <c r="E364" s="10" t="s">
        <v>902</v>
      </c>
      <c r="F364" s="10">
        <v>36.491480000000003</v>
      </c>
      <c r="G364" s="10">
        <v>41.814396000000002</v>
      </c>
      <c r="H364" s="10" t="s">
        <v>443</v>
      </c>
      <c r="I364" s="10" t="s">
        <v>451</v>
      </c>
      <c r="J364" s="10" t="s">
        <v>487</v>
      </c>
      <c r="K364" s="11">
        <v>490</v>
      </c>
      <c r="L364" s="11">
        <v>2940</v>
      </c>
      <c r="M364" s="11"/>
      <c r="N364" s="11"/>
      <c r="O364" s="11"/>
      <c r="P364" s="11"/>
      <c r="Q364" s="11">
        <v>490</v>
      </c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>
        <v>490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>
        <v>490</v>
      </c>
      <c r="AS364" s="11"/>
      <c r="AT364" s="11"/>
      <c r="AU364" s="11"/>
      <c r="AV364" s="11"/>
      <c r="AW364" s="20" t="str">
        <f>HYPERLINK("http://www.openstreetmap.org/?mlat=36.4915&amp;mlon=41.8144&amp;zoom=12#map=12/36.4915/41.8144","Maplink1")</f>
        <v>Maplink1</v>
      </c>
      <c r="AX364" s="20" t="str">
        <f>HYPERLINK("https://www.google.iq/maps/search/+36.4915,41.8144/@36.4915,41.8144,14z?hl=en","Maplink2")</f>
        <v>Maplink2</v>
      </c>
      <c r="AY364" s="20" t="str">
        <f>HYPERLINK("http://www.bing.com/maps/?lvl=14&amp;sty=h&amp;cp=36.4915~41.8144&amp;sp=point.36.4915_41.8144","Maplink3")</f>
        <v>Maplink3</v>
      </c>
    </row>
    <row r="365" spans="1:51" x14ac:dyDescent="0.25">
      <c r="A365" s="9">
        <v>27358</v>
      </c>
      <c r="B365" s="10" t="s">
        <v>20</v>
      </c>
      <c r="C365" s="10" t="s">
        <v>448</v>
      </c>
      <c r="D365" s="10" t="s">
        <v>488</v>
      </c>
      <c r="E365" s="10" t="s">
        <v>489</v>
      </c>
      <c r="F365" s="10">
        <v>36.369624999999999</v>
      </c>
      <c r="G365" s="10">
        <v>41.723678</v>
      </c>
      <c r="H365" s="10" t="s">
        <v>443</v>
      </c>
      <c r="I365" s="10" t="s">
        <v>451</v>
      </c>
      <c r="J365" s="10"/>
      <c r="K365" s="11">
        <v>140</v>
      </c>
      <c r="L365" s="11">
        <v>840</v>
      </c>
      <c r="M365" s="11"/>
      <c r="N365" s="11"/>
      <c r="O365" s="11"/>
      <c r="P365" s="11"/>
      <c r="Q365" s="11">
        <v>140</v>
      </c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>
        <v>140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>
        <v>140</v>
      </c>
      <c r="AS365" s="11"/>
      <c r="AT365" s="11"/>
      <c r="AU365" s="11"/>
      <c r="AV365" s="11"/>
      <c r="AW365" s="20" t="str">
        <f>HYPERLINK("http://www.openstreetmap.org/?mlat=36.3696&amp;mlon=41.7237&amp;zoom=12#map=12/36.3696/41.7237","Maplink1")</f>
        <v>Maplink1</v>
      </c>
      <c r="AX365" s="20" t="str">
        <f>HYPERLINK("https://www.google.iq/maps/search/+36.3696,41.7237/@36.3696,41.7237,14z?hl=en","Maplink2")</f>
        <v>Maplink2</v>
      </c>
      <c r="AY365" s="20" t="str">
        <f>HYPERLINK("http://www.bing.com/maps/?lvl=14&amp;sty=h&amp;cp=36.3696~41.7237&amp;sp=point.36.3696_41.7237","Maplink3")</f>
        <v>Maplink3</v>
      </c>
    </row>
    <row r="366" spans="1:51" x14ac:dyDescent="0.25">
      <c r="A366" s="9">
        <v>27364</v>
      </c>
      <c r="B366" s="10" t="s">
        <v>20</v>
      </c>
      <c r="C366" s="10" t="s">
        <v>448</v>
      </c>
      <c r="D366" s="10" t="s">
        <v>490</v>
      </c>
      <c r="E366" s="10" t="s">
        <v>491</v>
      </c>
      <c r="F366" s="10">
        <v>36.380712000000003</v>
      </c>
      <c r="G366" s="10">
        <v>41.714356000000002</v>
      </c>
      <c r="H366" s="10" t="s">
        <v>443</v>
      </c>
      <c r="I366" s="10" t="s">
        <v>451</v>
      </c>
      <c r="J366" s="10"/>
      <c r="K366" s="11">
        <v>25</v>
      </c>
      <c r="L366" s="11">
        <v>150</v>
      </c>
      <c r="M366" s="11"/>
      <c r="N366" s="11"/>
      <c r="O366" s="11"/>
      <c r="P366" s="11"/>
      <c r="Q366" s="11">
        <v>25</v>
      </c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>
        <v>25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>
        <v>25</v>
      </c>
      <c r="AS366" s="11"/>
      <c r="AT366" s="11"/>
      <c r="AU366" s="11"/>
      <c r="AV366" s="11"/>
      <c r="AW366" s="20" t="str">
        <f>HYPERLINK("http://www.openstreetmap.org/?mlat=36.3807&amp;mlon=41.7144&amp;zoom=12#map=12/36.3807/41.7144","Maplink1")</f>
        <v>Maplink1</v>
      </c>
      <c r="AX366" s="20" t="str">
        <f>HYPERLINK("https://www.google.iq/maps/search/+36.3807,41.7144/@36.3807,41.7144,14z?hl=en","Maplink2")</f>
        <v>Maplink2</v>
      </c>
      <c r="AY366" s="20" t="str">
        <f>HYPERLINK("http://www.bing.com/maps/?lvl=14&amp;sty=h&amp;cp=36.3807~41.7144&amp;sp=point.36.3807_41.7144","Maplink3")</f>
        <v>Maplink3</v>
      </c>
    </row>
    <row r="367" spans="1:51" x14ac:dyDescent="0.25">
      <c r="A367" s="9">
        <v>27397</v>
      </c>
      <c r="B367" s="10" t="s">
        <v>20</v>
      </c>
      <c r="C367" s="10" t="s">
        <v>448</v>
      </c>
      <c r="D367" s="10" t="s">
        <v>492</v>
      </c>
      <c r="E367" s="10" t="s">
        <v>493</v>
      </c>
      <c r="F367" s="10">
        <v>36.421399000000001</v>
      </c>
      <c r="G367" s="10">
        <v>41.90887</v>
      </c>
      <c r="H367" s="10" t="s">
        <v>443</v>
      </c>
      <c r="I367" s="10" t="s">
        <v>451</v>
      </c>
      <c r="J367" s="10"/>
      <c r="K367" s="11">
        <v>44</v>
      </c>
      <c r="L367" s="11">
        <v>264</v>
      </c>
      <c r="M367" s="11"/>
      <c r="N367" s="11"/>
      <c r="O367" s="11"/>
      <c r="P367" s="11"/>
      <c r="Q367" s="11">
        <v>44</v>
      </c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>
        <v>24</v>
      </c>
      <c r="AG367" s="11"/>
      <c r="AH367" s="11"/>
      <c r="AI367" s="11">
        <v>20</v>
      </c>
      <c r="AJ367" s="11"/>
      <c r="AK367" s="11"/>
      <c r="AL367" s="11"/>
      <c r="AM367" s="11"/>
      <c r="AN367" s="11"/>
      <c r="AO367" s="11"/>
      <c r="AP367" s="11"/>
      <c r="AQ367" s="11"/>
      <c r="AR367" s="11">
        <v>44</v>
      </c>
      <c r="AS367" s="11"/>
      <c r="AT367" s="11"/>
      <c r="AU367" s="11"/>
      <c r="AV367" s="11"/>
      <c r="AW367" s="20" t="str">
        <f>HYPERLINK("http://www.openstreetmap.org/?mlat=36.4214&amp;mlon=41.9089&amp;zoom=12#map=12/36.4214/41.9089","Maplink1")</f>
        <v>Maplink1</v>
      </c>
      <c r="AX367" s="20" t="str">
        <f>HYPERLINK("https://www.google.iq/maps/search/+36.4214,41.9089/@36.4214,41.9089,14z?hl=en","Maplink2")</f>
        <v>Maplink2</v>
      </c>
      <c r="AY367" s="20" t="str">
        <f>HYPERLINK("http://www.bing.com/maps/?lvl=14&amp;sty=h&amp;cp=36.4214~41.9089&amp;sp=point.36.4214_41.9089","Maplink3")</f>
        <v>Maplink3</v>
      </c>
    </row>
    <row r="368" spans="1:51" x14ac:dyDescent="0.25">
      <c r="A368" s="9">
        <v>27363</v>
      </c>
      <c r="B368" s="10" t="s">
        <v>20</v>
      </c>
      <c r="C368" s="10" t="s">
        <v>448</v>
      </c>
      <c r="D368" s="10" t="s">
        <v>494</v>
      </c>
      <c r="E368" s="10" t="s">
        <v>495</v>
      </c>
      <c r="F368" s="10">
        <v>36.429828000000001</v>
      </c>
      <c r="G368" s="10">
        <v>41.929850000000002</v>
      </c>
      <c r="H368" s="10" t="s">
        <v>443</v>
      </c>
      <c r="I368" s="10" t="s">
        <v>451</v>
      </c>
      <c r="J368" s="10"/>
      <c r="K368" s="11">
        <v>55</v>
      </c>
      <c r="L368" s="11">
        <v>330</v>
      </c>
      <c r="M368" s="11"/>
      <c r="N368" s="11"/>
      <c r="O368" s="11"/>
      <c r="P368" s="11"/>
      <c r="Q368" s="11">
        <v>55</v>
      </c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>
        <v>40</v>
      </c>
      <c r="AG368" s="11"/>
      <c r="AH368" s="11"/>
      <c r="AI368" s="11">
        <v>10</v>
      </c>
      <c r="AJ368" s="11"/>
      <c r="AK368" s="11"/>
      <c r="AL368" s="11"/>
      <c r="AM368" s="11"/>
      <c r="AN368" s="11">
        <v>5</v>
      </c>
      <c r="AO368" s="11"/>
      <c r="AP368" s="11"/>
      <c r="AQ368" s="11"/>
      <c r="AR368" s="11">
        <v>55</v>
      </c>
      <c r="AS368" s="11"/>
      <c r="AT368" s="11"/>
      <c r="AU368" s="11"/>
      <c r="AV368" s="11"/>
      <c r="AW368" s="20" t="str">
        <f>HYPERLINK("http://www.openstreetmap.org/?mlat=36.4298&amp;mlon=41.9299&amp;zoom=12#map=12/36.4298/41.9299","Maplink1")</f>
        <v>Maplink1</v>
      </c>
      <c r="AX368" s="20" t="str">
        <f>HYPERLINK("https://www.google.iq/maps/search/+36.4298,41.9299/@36.4298,41.9299,14z?hl=en","Maplink2")</f>
        <v>Maplink2</v>
      </c>
      <c r="AY368" s="20" t="str">
        <f>HYPERLINK("http://www.bing.com/maps/?lvl=14&amp;sty=h&amp;cp=36.4298~41.9299&amp;sp=point.36.4298_41.9299","Maplink3")</f>
        <v>Maplink3</v>
      </c>
    </row>
    <row r="369" spans="1:51" x14ac:dyDescent="0.25">
      <c r="A369" s="9">
        <v>29603</v>
      </c>
      <c r="B369" s="10" t="s">
        <v>20</v>
      </c>
      <c r="C369" s="10" t="s">
        <v>448</v>
      </c>
      <c r="D369" s="10" t="s">
        <v>964</v>
      </c>
      <c r="E369" s="10" t="s">
        <v>965</v>
      </c>
      <c r="F369" s="10">
        <v>36.345939999999999</v>
      </c>
      <c r="G369" s="10">
        <v>41.850740000000002</v>
      </c>
      <c r="H369" s="10" t="s">
        <v>443</v>
      </c>
      <c r="I369" s="10" t="s">
        <v>451</v>
      </c>
      <c r="J369" s="10"/>
      <c r="K369" s="11">
        <v>100</v>
      </c>
      <c r="L369" s="11">
        <v>600</v>
      </c>
      <c r="M369" s="11"/>
      <c r="N369" s="11"/>
      <c r="O369" s="11"/>
      <c r="P369" s="11"/>
      <c r="Q369" s="11">
        <v>100</v>
      </c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>
        <v>100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>
        <v>100</v>
      </c>
      <c r="AS369" s="11"/>
      <c r="AT369" s="11"/>
      <c r="AU369" s="11"/>
      <c r="AV369" s="11"/>
      <c r="AW369" s="20" t="str">
        <f>HYPERLINK("http://www.openstreetmap.org/?mlat=36.3459&amp;mlon=41.8507&amp;zoom=12#map=12/36.3459/41.8507","Maplink1")</f>
        <v>Maplink1</v>
      </c>
      <c r="AX369" s="20" t="str">
        <f>HYPERLINK("https://www.google.iq/maps/search/+36.3459,41.8507/@36.3459,41.8507,14z?hl=en","Maplink2")</f>
        <v>Maplink2</v>
      </c>
      <c r="AY369" s="20" t="str">
        <f>HYPERLINK("http://www.bing.com/maps/?lvl=14&amp;sty=h&amp;cp=36.3459~41.8507&amp;sp=point.36.3459_41.8507","Maplink3")</f>
        <v>Maplink3</v>
      </c>
    </row>
    <row r="370" spans="1:51" x14ac:dyDescent="0.25">
      <c r="A370" s="9">
        <v>17694</v>
      </c>
      <c r="B370" s="10" t="s">
        <v>20</v>
      </c>
      <c r="C370" s="10" t="s">
        <v>448</v>
      </c>
      <c r="D370" s="10" t="s">
        <v>496</v>
      </c>
      <c r="E370" s="10" t="s">
        <v>497</v>
      </c>
      <c r="F370" s="10">
        <v>36.446843999999999</v>
      </c>
      <c r="G370" s="10">
        <v>41.754300000000001</v>
      </c>
      <c r="H370" s="10" t="s">
        <v>443</v>
      </c>
      <c r="I370" s="10" t="s">
        <v>451</v>
      </c>
      <c r="J370" s="10" t="s">
        <v>498</v>
      </c>
      <c r="K370" s="11">
        <v>21</v>
      </c>
      <c r="L370" s="11">
        <v>126</v>
      </c>
      <c r="M370" s="11"/>
      <c r="N370" s="11"/>
      <c r="O370" s="11"/>
      <c r="P370" s="11"/>
      <c r="Q370" s="11">
        <v>21</v>
      </c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>
        <v>21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>
        <v>21</v>
      </c>
      <c r="AS370" s="11"/>
      <c r="AT370" s="11"/>
      <c r="AU370" s="11"/>
      <c r="AV370" s="11"/>
      <c r="AW370" s="20" t="str">
        <f>HYPERLINK("http://www.openstreetmap.org/?mlat=36.4468&amp;mlon=41.7543&amp;zoom=12#map=12/36.4468/41.7543","Maplink1")</f>
        <v>Maplink1</v>
      </c>
      <c r="AX370" s="20" t="str">
        <f>HYPERLINK("https://www.google.iq/maps/search/+36.4468,41.7543/@36.4468,41.7543,14z?hl=en","Maplink2")</f>
        <v>Maplink2</v>
      </c>
      <c r="AY370" s="20" t="str">
        <f>HYPERLINK("http://www.bing.com/maps/?lvl=14&amp;sty=h&amp;cp=36.4468~41.7543&amp;sp=point.36.4468_41.7543","Maplink3")</f>
        <v>Maplink3</v>
      </c>
    </row>
    <row r="371" spans="1:51" x14ac:dyDescent="0.25">
      <c r="A371" s="9">
        <v>27362</v>
      </c>
      <c r="B371" s="10" t="s">
        <v>20</v>
      </c>
      <c r="C371" s="10" t="s">
        <v>448</v>
      </c>
      <c r="D371" s="10" t="s">
        <v>499</v>
      </c>
      <c r="E371" s="10" t="s">
        <v>500</v>
      </c>
      <c r="F371" s="10">
        <v>36.394219999999997</v>
      </c>
      <c r="G371" s="10">
        <v>41.819961999999997</v>
      </c>
      <c r="H371" s="10" t="s">
        <v>443</v>
      </c>
      <c r="I371" s="10" t="s">
        <v>451</v>
      </c>
      <c r="J371" s="10"/>
      <c r="K371" s="11">
        <v>11</v>
      </c>
      <c r="L371" s="11">
        <v>66</v>
      </c>
      <c r="M371" s="11"/>
      <c r="N371" s="11"/>
      <c r="O371" s="11"/>
      <c r="P371" s="11"/>
      <c r="Q371" s="11">
        <v>11</v>
      </c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>
        <v>11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>
        <v>11</v>
      </c>
      <c r="AS371" s="11"/>
      <c r="AT371" s="11"/>
      <c r="AU371" s="11"/>
      <c r="AV371" s="11"/>
      <c r="AW371" s="20" t="str">
        <f>HYPERLINK("http://www.openstreetmap.org/?mlat=36.3942&amp;mlon=41.82&amp;zoom=12#map=12/36.3942/41.82","Maplink1")</f>
        <v>Maplink1</v>
      </c>
      <c r="AX371" s="20" t="str">
        <f>HYPERLINK("https://www.google.iq/maps/search/+36.3942,41.82/@36.3942,41.82,14z?hl=en","Maplink2")</f>
        <v>Maplink2</v>
      </c>
      <c r="AY371" s="20" t="str">
        <f>HYPERLINK("http://www.bing.com/maps/?lvl=14&amp;sty=h&amp;cp=36.3942~41.82&amp;sp=point.36.3942_41.82","Maplink3")</f>
        <v>Maplink3</v>
      </c>
    </row>
    <row r="372" spans="1:51" x14ac:dyDescent="0.25">
      <c r="A372" s="9">
        <v>27359</v>
      </c>
      <c r="B372" s="10" t="s">
        <v>20</v>
      </c>
      <c r="C372" s="10" t="s">
        <v>448</v>
      </c>
      <c r="D372" s="10" t="s">
        <v>501</v>
      </c>
      <c r="E372" s="10" t="s">
        <v>502</v>
      </c>
      <c r="F372" s="10">
        <v>36.377749999999999</v>
      </c>
      <c r="G372" s="10">
        <v>41.698332999999998</v>
      </c>
      <c r="H372" s="10" t="s">
        <v>443</v>
      </c>
      <c r="I372" s="10" t="s">
        <v>451</v>
      </c>
      <c r="J372" s="10"/>
      <c r="K372" s="11">
        <v>44</v>
      </c>
      <c r="L372" s="11">
        <v>264</v>
      </c>
      <c r="M372" s="11"/>
      <c r="N372" s="11"/>
      <c r="O372" s="11"/>
      <c r="P372" s="11"/>
      <c r="Q372" s="11">
        <v>44</v>
      </c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>
        <v>44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>
        <v>44</v>
      </c>
      <c r="AS372" s="11"/>
      <c r="AT372" s="11"/>
      <c r="AU372" s="11"/>
      <c r="AV372" s="11"/>
      <c r="AW372" s="20" t="str">
        <f>HYPERLINK("http://www.openstreetmap.org/?mlat=36.3777&amp;mlon=41.6983&amp;zoom=12#map=12/36.3777/41.6983","Maplink1")</f>
        <v>Maplink1</v>
      </c>
      <c r="AX372" s="20" t="str">
        <f>HYPERLINK("https://www.google.iq/maps/search/+36.3777,41.6983/@36.3777,41.6983,14z?hl=en","Maplink2")</f>
        <v>Maplink2</v>
      </c>
      <c r="AY372" s="20" t="str">
        <f>HYPERLINK("http://www.bing.com/maps/?lvl=14&amp;sty=h&amp;cp=36.3777~41.6983&amp;sp=point.36.3777_41.6983","Maplink3")</f>
        <v>Maplink3</v>
      </c>
    </row>
    <row r="373" spans="1:51" x14ac:dyDescent="0.25">
      <c r="A373" s="9">
        <v>27399</v>
      </c>
      <c r="B373" s="10" t="s">
        <v>20</v>
      </c>
      <c r="C373" s="10" t="s">
        <v>448</v>
      </c>
      <c r="D373" s="10" t="s">
        <v>503</v>
      </c>
      <c r="E373" s="10" t="s">
        <v>504</v>
      </c>
      <c r="F373" s="10">
        <v>36.428393</v>
      </c>
      <c r="G373" s="10">
        <v>41.869135</v>
      </c>
      <c r="H373" s="10" t="s">
        <v>443</v>
      </c>
      <c r="I373" s="10" t="s">
        <v>451</v>
      </c>
      <c r="J373" s="10"/>
      <c r="K373" s="11">
        <v>167</v>
      </c>
      <c r="L373" s="11">
        <v>1002</v>
      </c>
      <c r="M373" s="11"/>
      <c r="N373" s="11"/>
      <c r="O373" s="11"/>
      <c r="P373" s="11"/>
      <c r="Q373" s="11">
        <v>167</v>
      </c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>
        <v>167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>
        <v>167</v>
      </c>
      <c r="AS373" s="11"/>
      <c r="AT373" s="11"/>
      <c r="AU373" s="11"/>
      <c r="AV373" s="11"/>
      <c r="AW373" s="20" t="str">
        <f>HYPERLINK("http://www.openstreetmap.org/?mlat=36.4284&amp;mlon=41.8691&amp;zoom=12#map=12/36.4284/41.8691","Maplink1")</f>
        <v>Maplink1</v>
      </c>
      <c r="AX373" s="20" t="str">
        <f>HYPERLINK("https://www.google.iq/maps/search/+36.4284,41.8691/@36.4284,41.8691,14z?hl=en","Maplink2")</f>
        <v>Maplink2</v>
      </c>
      <c r="AY373" s="20" t="str">
        <f>HYPERLINK("http://www.bing.com/maps/?lvl=14&amp;sty=h&amp;cp=36.4284~41.8691&amp;sp=point.36.4284_41.8691","Maplink3")</f>
        <v>Maplink3</v>
      </c>
    </row>
    <row r="374" spans="1:51" x14ac:dyDescent="0.25">
      <c r="A374" s="9">
        <v>27400</v>
      </c>
      <c r="B374" s="10" t="s">
        <v>20</v>
      </c>
      <c r="C374" s="10" t="s">
        <v>448</v>
      </c>
      <c r="D374" s="10" t="s">
        <v>505</v>
      </c>
      <c r="E374" s="10" t="s">
        <v>506</v>
      </c>
      <c r="F374" s="10">
        <v>36.380782000000004</v>
      </c>
      <c r="G374" s="10">
        <v>41.713853999999998</v>
      </c>
      <c r="H374" s="10" t="s">
        <v>443</v>
      </c>
      <c r="I374" s="10" t="s">
        <v>451</v>
      </c>
      <c r="J374" s="10"/>
      <c r="K374" s="11">
        <v>20</v>
      </c>
      <c r="L374" s="11">
        <v>120</v>
      </c>
      <c r="M374" s="11"/>
      <c r="N374" s="11"/>
      <c r="O374" s="11"/>
      <c r="P374" s="11"/>
      <c r="Q374" s="11">
        <v>20</v>
      </c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>
        <v>20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>
        <v>20</v>
      </c>
      <c r="AS374" s="11"/>
      <c r="AT374" s="11"/>
      <c r="AU374" s="11"/>
      <c r="AV374" s="11"/>
      <c r="AW374" s="20" t="str">
        <f>HYPERLINK("http://www.openstreetmap.org/?mlat=36.3808&amp;mlon=41.7139&amp;zoom=12#map=12/36.3808/41.7139","Maplink1")</f>
        <v>Maplink1</v>
      </c>
      <c r="AX374" s="20" t="str">
        <f>HYPERLINK("https://www.google.iq/maps/search/+36.3808,41.7139/@36.3808,41.7139,14z?hl=en","Maplink2")</f>
        <v>Maplink2</v>
      </c>
      <c r="AY374" s="20" t="str">
        <f>HYPERLINK("http://www.bing.com/maps/?lvl=14&amp;sty=h&amp;cp=36.3808~41.7139&amp;sp=point.36.3808_41.7139","Maplink3")</f>
        <v>Maplink3</v>
      </c>
    </row>
    <row r="375" spans="1:51" x14ac:dyDescent="0.25">
      <c r="A375" s="9">
        <v>17928</v>
      </c>
      <c r="B375" s="10" t="s">
        <v>20</v>
      </c>
      <c r="C375" s="10" t="s">
        <v>448</v>
      </c>
      <c r="D375" s="10" t="s">
        <v>507</v>
      </c>
      <c r="E375" s="10" t="s">
        <v>508</v>
      </c>
      <c r="F375" s="10">
        <v>36.467568999999997</v>
      </c>
      <c r="G375" s="10">
        <v>41.708775000000003</v>
      </c>
      <c r="H375" s="10" t="s">
        <v>443</v>
      </c>
      <c r="I375" s="10" t="s">
        <v>451</v>
      </c>
      <c r="J375" s="10" t="s">
        <v>509</v>
      </c>
      <c r="K375" s="11">
        <v>679</v>
      </c>
      <c r="L375" s="11">
        <v>4074</v>
      </c>
      <c r="M375" s="11"/>
      <c r="N375" s="11"/>
      <c r="O375" s="11"/>
      <c r="P375" s="11"/>
      <c r="Q375" s="11">
        <v>679</v>
      </c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>
        <v>679</v>
      </c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>
        <v>679</v>
      </c>
      <c r="AS375" s="11"/>
      <c r="AT375" s="11"/>
      <c r="AU375" s="11"/>
      <c r="AV375" s="11"/>
      <c r="AW375" s="20" t="str">
        <f>HYPERLINK("http://www.openstreetmap.org/?mlat=36.4676&amp;mlon=41.7088&amp;zoom=12#map=12/36.4676/41.7088","Maplink1")</f>
        <v>Maplink1</v>
      </c>
      <c r="AX375" s="20" t="str">
        <f>HYPERLINK("https://www.google.iq/maps/search/+36.4676,41.7088/@36.4676,41.7088,14z?hl=en","Maplink2")</f>
        <v>Maplink2</v>
      </c>
      <c r="AY375" s="20" t="str">
        <f>HYPERLINK("http://www.bing.com/maps/?lvl=14&amp;sty=h&amp;cp=36.4676~41.7088&amp;sp=point.36.4676_41.7088","Maplink3")</f>
        <v>Maplink3</v>
      </c>
    </row>
    <row r="376" spans="1:51" x14ac:dyDescent="0.25">
      <c r="A376" s="9">
        <v>28448</v>
      </c>
      <c r="B376" s="10" t="s">
        <v>20</v>
      </c>
      <c r="C376" s="10" t="s">
        <v>448</v>
      </c>
      <c r="D376" s="10" t="s">
        <v>510</v>
      </c>
      <c r="E376" s="10" t="s">
        <v>511</v>
      </c>
      <c r="F376" s="10">
        <v>36.421311000000003</v>
      </c>
      <c r="G376" s="10">
        <v>41.865864000000002</v>
      </c>
      <c r="H376" s="10" t="s">
        <v>443</v>
      </c>
      <c r="I376" s="10" t="s">
        <v>451</v>
      </c>
      <c r="J376" s="10"/>
      <c r="K376" s="11">
        <v>46</v>
      </c>
      <c r="L376" s="11">
        <v>276</v>
      </c>
      <c r="M376" s="11"/>
      <c r="N376" s="11"/>
      <c r="O376" s="11"/>
      <c r="P376" s="11"/>
      <c r="Q376" s="11">
        <v>46</v>
      </c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>
        <v>46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>
        <v>46</v>
      </c>
      <c r="AS376" s="11"/>
      <c r="AT376" s="11"/>
      <c r="AU376" s="11"/>
      <c r="AV376" s="11"/>
      <c r="AW376" s="20" t="str">
        <f>HYPERLINK("http://www.openstreetmap.org/?mlat=36.4213&amp;mlon=41.8659&amp;zoom=12#map=12/36.4213/41.8659","Maplink1")</f>
        <v>Maplink1</v>
      </c>
      <c r="AX376" s="20" t="str">
        <f>HYPERLINK("https://www.google.iq/maps/search/+36.4213,41.8659/@36.4213,41.8659,14z?hl=en","Maplink2")</f>
        <v>Maplink2</v>
      </c>
      <c r="AY376" s="20" t="str">
        <f>HYPERLINK("http://www.bing.com/maps/?lvl=14&amp;sty=h&amp;cp=36.4213~41.8659&amp;sp=point.36.4213_41.8659","Maplink3")</f>
        <v>Maplink3</v>
      </c>
    </row>
    <row r="377" spans="1:51" x14ac:dyDescent="0.25">
      <c r="A377" s="9">
        <v>27361</v>
      </c>
      <c r="B377" s="10" t="s">
        <v>20</v>
      </c>
      <c r="C377" s="10" t="s">
        <v>448</v>
      </c>
      <c r="D377" s="10" t="s">
        <v>512</v>
      </c>
      <c r="E377" s="10" t="s">
        <v>513</v>
      </c>
      <c r="F377" s="10">
        <v>36.397239999999996</v>
      </c>
      <c r="G377" s="10">
        <v>41.797674000000001</v>
      </c>
      <c r="H377" s="10" t="s">
        <v>443</v>
      </c>
      <c r="I377" s="10" t="s">
        <v>451</v>
      </c>
      <c r="J377" s="10"/>
      <c r="K377" s="11">
        <v>1</v>
      </c>
      <c r="L377" s="11">
        <v>6</v>
      </c>
      <c r="M377" s="11"/>
      <c r="N377" s="11"/>
      <c r="O377" s="11"/>
      <c r="P377" s="11"/>
      <c r="Q377" s="11">
        <v>1</v>
      </c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>
        <v>1</v>
      </c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>
        <v>1</v>
      </c>
      <c r="AS377" s="11"/>
      <c r="AT377" s="11"/>
      <c r="AU377" s="11"/>
      <c r="AV377" s="11"/>
      <c r="AW377" s="20" t="str">
        <f>HYPERLINK("http://www.openstreetmap.org/?mlat=36.3972&amp;mlon=41.7977&amp;zoom=12#map=12/36.3972/41.7977","Maplink1")</f>
        <v>Maplink1</v>
      </c>
      <c r="AX377" s="20" t="str">
        <f>HYPERLINK("https://www.google.iq/maps/search/+36.3972,41.7977/@36.3972,41.7977,14z?hl=en","Maplink2")</f>
        <v>Maplink2</v>
      </c>
      <c r="AY377" s="20" t="str">
        <f>HYPERLINK("http://www.bing.com/maps/?lvl=14&amp;sty=h&amp;cp=36.3972~41.7977&amp;sp=point.36.3972_41.7977","Maplink3")</f>
        <v>Maplink3</v>
      </c>
    </row>
    <row r="378" spans="1:51" x14ac:dyDescent="0.25">
      <c r="A378" s="9">
        <v>27287</v>
      </c>
      <c r="B378" s="10" t="s">
        <v>20</v>
      </c>
      <c r="C378" s="10" t="s">
        <v>448</v>
      </c>
      <c r="D378" s="10" t="s">
        <v>794</v>
      </c>
      <c r="E378" s="10" t="s">
        <v>1147</v>
      </c>
      <c r="F378" s="10">
        <v>36.477305999999999</v>
      </c>
      <c r="G378" s="10">
        <v>42.017657999999997</v>
      </c>
      <c r="H378" s="10" t="s">
        <v>443</v>
      </c>
      <c r="I378" s="10" t="s">
        <v>451</v>
      </c>
      <c r="J378" s="10"/>
      <c r="K378" s="11">
        <v>221</v>
      </c>
      <c r="L378" s="11">
        <v>1326</v>
      </c>
      <c r="M378" s="11"/>
      <c r="N378" s="11"/>
      <c r="O378" s="11"/>
      <c r="P378" s="11"/>
      <c r="Q378" s="11">
        <v>221</v>
      </c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>
        <v>221</v>
      </c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>
        <v>221</v>
      </c>
      <c r="AS378" s="11"/>
      <c r="AT378" s="11"/>
      <c r="AU378" s="11"/>
      <c r="AV378" s="11"/>
      <c r="AW378" s="20" t="str">
        <f>HYPERLINK("http://www.openstreetmap.org/?mlat=36.4773&amp;mlon=42.0177&amp;zoom=12#map=12/36.4773/42.0177","Maplink1")</f>
        <v>Maplink1</v>
      </c>
      <c r="AX378" s="20" t="str">
        <f>HYPERLINK("https://www.google.iq/maps/search/+36.4773,42.0177/@36.4773,42.0177,14z?hl=en","Maplink2")</f>
        <v>Maplink2</v>
      </c>
      <c r="AY378" s="20" t="str">
        <f>HYPERLINK("http://www.bing.com/maps/?lvl=14&amp;sty=h&amp;cp=36.4773~42.0177&amp;sp=point.36.4773_42.0177","Maplink3")</f>
        <v>Maplink3</v>
      </c>
    </row>
    <row r="379" spans="1:51" x14ac:dyDescent="0.25">
      <c r="A379" s="9">
        <v>17645</v>
      </c>
      <c r="B379" s="10" t="s">
        <v>20</v>
      </c>
      <c r="C379" s="10" t="s">
        <v>514</v>
      </c>
      <c r="D379" s="10" t="s">
        <v>522</v>
      </c>
      <c r="E379" s="10" t="s">
        <v>903</v>
      </c>
      <c r="F379" s="10">
        <v>36.71</v>
      </c>
      <c r="G379" s="10">
        <v>42.02</v>
      </c>
      <c r="H379" s="10" t="s">
        <v>443</v>
      </c>
      <c r="I379" s="10" t="s">
        <v>516</v>
      </c>
      <c r="J379" s="10" t="s">
        <v>523</v>
      </c>
      <c r="K379" s="11">
        <v>100</v>
      </c>
      <c r="L379" s="11">
        <v>600</v>
      </c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>
        <v>100</v>
      </c>
      <c r="Z379" s="11"/>
      <c r="AA379" s="11"/>
      <c r="AB379" s="11"/>
      <c r="AC379" s="11"/>
      <c r="AD379" s="11"/>
      <c r="AE379" s="11"/>
      <c r="AF379" s="11">
        <v>100</v>
      </c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97</v>
      </c>
      <c r="AS379" s="11"/>
      <c r="AT379" s="11"/>
      <c r="AU379" s="11">
        <v>3</v>
      </c>
      <c r="AV379" s="11"/>
      <c r="AW379" s="20" t="str">
        <f>HYPERLINK("http://www.openstreetmap.org/?mlat=36.71&amp;mlon=42.02&amp;zoom=12#map=12/36.71/42.02","Maplink1")</f>
        <v>Maplink1</v>
      </c>
      <c r="AX379" s="20" t="str">
        <f>HYPERLINK("https://www.google.iq/maps/search/+36.71,42.02/@36.71,42.02,14z?hl=en","Maplink2")</f>
        <v>Maplink2</v>
      </c>
      <c r="AY379" s="20" t="str">
        <f>HYPERLINK("http://www.bing.com/maps/?lvl=14&amp;sty=h&amp;cp=36.71~42.02&amp;sp=point.36.71_42.02","Maplink3")</f>
        <v>Maplink3</v>
      </c>
    </row>
    <row r="380" spans="1:51" x14ac:dyDescent="0.25">
      <c r="A380" s="9">
        <v>17657</v>
      </c>
      <c r="B380" s="10" t="s">
        <v>20</v>
      </c>
      <c r="C380" s="10" t="s">
        <v>514</v>
      </c>
      <c r="D380" s="10" t="s">
        <v>966</v>
      </c>
      <c r="E380" s="10" t="s">
        <v>515</v>
      </c>
      <c r="F380" s="10">
        <v>36.758319999999998</v>
      </c>
      <c r="G380" s="10">
        <v>42.208589000000003</v>
      </c>
      <c r="H380" s="10" t="s">
        <v>443</v>
      </c>
      <c r="I380" s="10" t="s">
        <v>516</v>
      </c>
      <c r="J380" s="10" t="s">
        <v>517</v>
      </c>
      <c r="K380" s="11">
        <v>208</v>
      </c>
      <c r="L380" s="11">
        <v>1248</v>
      </c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>
        <v>208</v>
      </c>
      <c r="Z380" s="11"/>
      <c r="AA380" s="11"/>
      <c r="AB380" s="11"/>
      <c r="AC380" s="11"/>
      <c r="AD380" s="11"/>
      <c r="AE380" s="11"/>
      <c r="AF380" s="11">
        <v>208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>
        <v>208</v>
      </c>
      <c r="AS380" s="11"/>
      <c r="AT380" s="11"/>
      <c r="AU380" s="11"/>
      <c r="AV380" s="11"/>
      <c r="AW380" s="20" t="str">
        <f>HYPERLINK("http://www.openstreetmap.org/?mlat=36.7583&amp;mlon=42.2086&amp;zoom=12#map=12/36.7583/42.2086","Maplink1")</f>
        <v>Maplink1</v>
      </c>
      <c r="AX380" s="20" t="str">
        <f>HYPERLINK("https://www.google.iq/maps/search/+36.7583,42.2086/@36.7583,42.2086,14z?hl=en","Maplink2")</f>
        <v>Maplink2</v>
      </c>
      <c r="AY380" s="20" t="str">
        <f>HYPERLINK("http://www.bing.com/maps/?lvl=14&amp;sty=h&amp;cp=36.7583~42.2086&amp;sp=point.36.7583_42.2086","Maplink3")</f>
        <v>Maplink3</v>
      </c>
    </row>
    <row r="381" spans="1:51" x14ac:dyDescent="0.25">
      <c r="A381" s="9">
        <v>18262</v>
      </c>
      <c r="B381" s="10" t="s">
        <v>20</v>
      </c>
      <c r="C381" s="10" t="s">
        <v>514</v>
      </c>
      <c r="D381" s="10" t="s">
        <v>524</v>
      </c>
      <c r="E381" s="10" t="s">
        <v>1148</v>
      </c>
      <c r="F381" s="10">
        <v>36.745064999999997</v>
      </c>
      <c r="G381" s="10">
        <v>42.202821</v>
      </c>
      <c r="H381" s="10" t="s">
        <v>443</v>
      </c>
      <c r="I381" s="10" t="s">
        <v>516</v>
      </c>
      <c r="J381" s="10" t="s">
        <v>525</v>
      </c>
      <c r="K381" s="11">
        <v>365</v>
      </c>
      <c r="L381" s="11">
        <v>2190</v>
      </c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>
        <v>365</v>
      </c>
      <c r="Z381" s="11"/>
      <c r="AA381" s="11"/>
      <c r="AB381" s="11"/>
      <c r="AC381" s="11"/>
      <c r="AD381" s="11"/>
      <c r="AE381" s="11"/>
      <c r="AF381" s="11">
        <v>365</v>
      </c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>
        <v>365</v>
      </c>
      <c r="AS381" s="11"/>
      <c r="AT381" s="11"/>
      <c r="AU381" s="11"/>
      <c r="AV381" s="11"/>
      <c r="AW381" s="20" t="str">
        <f>HYPERLINK("http://www.openstreetmap.org/?mlat=36.7451&amp;mlon=42.2028&amp;zoom=12#map=12/36.7451/42.2028","Maplink1")</f>
        <v>Maplink1</v>
      </c>
      <c r="AX381" s="20" t="str">
        <f>HYPERLINK("https://www.google.iq/maps/search/+36.7451,42.2028/@36.7451,42.2028,14z?hl=en","Maplink2")</f>
        <v>Maplink2</v>
      </c>
      <c r="AY381" s="20" t="str">
        <f>HYPERLINK("http://www.bing.com/maps/?lvl=14&amp;sty=h&amp;cp=36.7451~42.2028&amp;sp=point.36.7451_42.2028","Maplink3")</f>
        <v>Maplink3</v>
      </c>
    </row>
    <row r="382" spans="1:51" x14ac:dyDescent="0.25">
      <c r="A382" s="9">
        <v>27354</v>
      </c>
      <c r="B382" s="10" t="s">
        <v>20</v>
      </c>
      <c r="C382" s="10" t="s">
        <v>514</v>
      </c>
      <c r="D382" s="10" t="s">
        <v>1149</v>
      </c>
      <c r="E382" s="10" t="s">
        <v>531</v>
      </c>
      <c r="F382" s="10">
        <v>36.843490000000003</v>
      </c>
      <c r="G382" s="10">
        <v>42.382295999999997</v>
      </c>
      <c r="H382" s="10" t="s">
        <v>443</v>
      </c>
      <c r="I382" s="10" t="s">
        <v>516</v>
      </c>
      <c r="J382" s="10"/>
      <c r="K382" s="11">
        <v>124</v>
      </c>
      <c r="L382" s="11">
        <v>744</v>
      </c>
      <c r="M382" s="11"/>
      <c r="N382" s="11"/>
      <c r="O382" s="11"/>
      <c r="P382" s="11"/>
      <c r="Q382" s="11">
        <v>124</v>
      </c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>
        <v>124</v>
      </c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>
        <v>124</v>
      </c>
      <c r="AS382" s="11"/>
      <c r="AT382" s="11"/>
      <c r="AU382" s="11"/>
      <c r="AV382" s="11"/>
      <c r="AW382" s="20" t="str">
        <f>HYPERLINK("http://www.openstreetmap.org/?mlat=36.8435&amp;mlon=42.3823&amp;zoom=12#map=12/36.8435/42.3823","Maplink1")</f>
        <v>Maplink1</v>
      </c>
      <c r="AX382" s="20" t="str">
        <f>HYPERLINK("https://www.google.iq/maps/search/+36.8435,42.3823/@36.8435,42.3823,14z?hl=en","Maplink2")</f>
        <v>Maplink2</v>
      </c>
      <c r="AY382" s="20" t="str">
        <f>HYPERLINK("http://www.bing.com/maps/?lvl=14&amp;sty=h&amp;cp=36.8435~42.3823&amp;sp=point.36.8435_42.3823","Maplink3")</f>
        <v>Maplink3</v>
      </c>
    </row>
    <row r="383" spans="1:51" x14ac:dyDescent="0.25">
      <c r="A383" s="9">
        <v>17746</v>
      </c>
      <c r="B383" s="10" t="s">
        <v>20</v>
      </c>
      <c r="C383" s="10" t="s">
        <v>514</v>
      </c>
      <c r="D383" s="10" t="s">
        <v>754</v>
      </c>
      <c r="E383" s="10" t="s">
        <v>526</v>
      </c>
      <c r="F383" s="10">
        <v>36.6</v>
      </c>
      <c r="G383" s="10">
        <v>42.62</v>
      </c>
      <c r="H383" s="10" t="s">
        <v>443</v>
      </c>
      <c r="I383" s="10" t="s">
        <v>516</v>
      </c>
      <c r="J383" s="10" t="s">
        <v>527</v>
      </c>
      <c r="K383" s="11">
        <v>208</v>
      </c>
      <c r="L383" s="11">
        <v>1248</v>
      </c>
      <c r="M383" s="11"/>
      <c r="N383" s="11"/>
      <c r="O383" s="11"/>
      <c r="P383" s="11"/>
      <c r="Q383" s="11">
        <v>180</v>
      </c>
      <c r="R383" s="11"/>
      <c r="S383" s="11">
        <v>18</v>
      </c>
      <c r="T383" s="11"/>
      <c r="U383" s="11"/>
      <c r="V383" s="11"/>
      <c r="W383" s="11"/>
      <c r="X383" s="11"/>
      <c r="Y383" s="11"/>
      <c r="Z383" s="11"/>
      <c r="AA383" s="11"/>
      <c r="AB383" s="11">
        <v>10</v>
      </c>
      <c r="AC383" s="11"/>
      <c r="AD383" s="11"/>
      <c r="AE383" s="11"/>
      <c r="AF383" s="11">
        <v>186</v>
      </c>
      <c r="AG383" s="11">
        <v>22</v>
      </c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>
        <v>208</v>
      </c>
      <c r="AS383" s="11"/>
      <c r="AT383" s="11"/>
      <c r="AU383" s="11"/>
      <c r="AV383" s="11"/>
      <c r="AW383" s="20" t="str">
        <f>HYPERLINK("http://www.openstreetmap.org/?mlat=36.6&amp;mlon=42.62&amp;zoom=12#map=12/36.6/42.62","Maplink1")</f>
        <v>Maplink1</v>
      </c>
      <c r="AX383" s="20" t="str">
        <f>HYPERLINK("https://www.google.iq/maps/search/+36.6,42.62/@36.6,42.62,14z?hl=en","Maplink2")</f>
        <v>Maplink2</v>
      </c>
      <c r="AY383" s="20" t="str">
        <f>HYPERLINK("http://www.bing.com/maps/?lvl=14&amp;sty=h&amp;cp=36.6~42.62&amp;sp=point.36.6_42.62","Maplink3")</f>
        <v>Maplink3</v>
      </c>
    </row>
    <row r="384" spans="1:51" x14ac:dyDescent="0.25">
      <c r="A384" s="9">
        <v>22446</v>
      </c>
      <c r="B384" s="10" t="s">
        <v>20</v>
      </c>
      <c r="C384" s="10" t="s">
        <v>514</v>
      </c>
      <c r="D384" s="10" t="s">
        <v>795</v>
      </c>
      <c r="E384" s="10" t="s">
        <v>569</v>
      </c>
      <c r="F384" s="10">
        <v>36.609481000000002</v>
      </c>
      <c r="G384" s="10">
        <v>42.573766999999997</v>
      </c>
      <c r="H384" s="10" t="s">
        <v>443</v>
      </c>
      <c r="I384" s="10" t="s">
        <v>516</v>
      </c>
      <c r="J384" s="10" t="s">
        <v>570</v>
      </c>
      <c r="K384" s="11">
        <v>372</v>
      </c>
      <c r="L384" s="11">
        <v>2232</v>
      </c>
      <c r="M384" s="11"/>
      <c r="N384" s="11"/>
      <c r="O384" s="11"/>
      <c r="P384" s="11"/>
      <c r="Q384" s="11">
        <v>372</v>
      </c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>
        <v>352</v>
      </c>
      <c r="AG384" s="11">
        <v>20</v>
      </c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>
        <v>372</v>
      </c>
      <c r="AS384" s="11"/>
      <c r="AT384" s="11"/>
      <c r="AU384" s="11"/>
      <c r="AV384" s="11"/>
      <c r="AW384" s="20" t="str">
        <f>HYPERLINK("http://www.openstreetmap.org/?mlat=36.6095&amp;mlon=42.5738&amp;zoom=12#map=12/36.6095/42.5738","Maplink1")</f>
        <v>Maplink1</v>
      </c>
      <c r="AX384" s="20" t="str">
        <f>HYPERLINK("https://www.google.iq/maps/search/+36.6095,42.5738/@36.6095,42.5738,14z?hl=en","Maplink2")</f>
        <v>Maplink2</v>
      </c>
      <c r="AY384" s="20" t="str">
        <f>HYPERLINK("http://www.bing.com/maps/?lvl=14&amp;sty=h&amp;cp=36.6095~42.5738&amp;sp=point.36.6095_42.5738","Maplink3")</f>
        <v>Maplink3</v>
      </c>
    </row>
    <row r="385" spans="1:51" x14ac:dyDescent="0.25">
      <c r="A385" s="9">
        <v>28453</v>
      </c>
      <c r="B385" s="10" t="s">
        <v>20</v>
      </c>
      <c r="C385" s="10" t="s">
        <v>514</v>
      </c>
      <c r="D385" s="10" t="s">
        <v>1150</v>
      </c>
      <c r="E385" s="10" t="s">
        <v>518</v>
      </c>
      <c r="F385" s="10">
        <v>36.727165999999997</v>
      </c>
      <c r="G385" s="10">
        <v>42.258491999999997</v>
      </c>
      <c r="H385" s="10" t="s">
        <v>443</v>
      </c>
      <c r="I385" s="10" t="s">
        <v>516</v>
      </c>
      <c r="J385" s="10"/>
      <c r="K385" s="11">
        <v>180</v>
      </c>
      <c r="L385" s="11">
        <v>1080</v>
      </c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>
        <v>180</v>
      </c>
      <c r="Z385" s="11"/>
      <c r="AA385" s="11"/>
      <c r="AB385" s="11"/>
      <c r="AC385" s="11"/>
      <c r="AD385" s="11"/>
      <c r="AE385" s="11"/>
      <c r="AF385" s="11">
        <v>180</v>
      </c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>
        <v>175</v>
      </c>
      <c r="AS385" s="11"/>
      <c r="AT385" s="11"/>
      <c r="AU385" s="11">
        <v>5</v>
      </c>
      <c r="AV385" s="11"/>
      <c r="AW385" s="20" t="str">
        <f>HYPERLINK("http://www.openstreetmap.org/?mlat=36.7272&amp;mlon=42.2585&amp;zoom=12#map=12/36.7272/42.2585","Maplink1")</f>
        <v>Maplink1</v>
      </c>
      <c r="AX385" s="20" t="str">
        <f>HYPERLINK("https://www.google.iq/maps/search/+36.7272,42.2585/@36.7272,42.2585,14z?hl=en","Maplink2")</f>
        <v>Maplink2</v>
      </c>
      <c r="AY385" s="20" t="str">
        <f>HYPERLINK("http://www.bing.com/maps/?lvl=14&amp;sty=h&amp;cp=36.7272~42.2585&amp;sp=point.36.7272_42.2585","Maplink3")</f>
        <v>Maplink3</v>
      </c>
    </row>
    <row r="386" spans="1:51" x14ac:dyDescent="0.25">
      <c r="A386" s="9">
        <v>17762</v>
      </c>
      <c r="B386" s="10" t="s">
        <v>20</v>
      </c>
      <c r="C386" s="10" t="s">
        <v>514</v>
      </c>
      <c r="D386" s="10" t="s">
        <v>1151</v>
      </c>
      <c r="E386" s="10" t="s">
        <v>528</v>
      </c>
      <c r="F386" s="10">
        <v>36.804526000000003</v>
      </c>
      <c r="G386" s="10">
        <v>42.460934000000002</v>
      </c>
      <c r="H386" s="10" t="s">
        <v>443</v>
      </c>
      <c r="I386" s="10" t="s">
        <v>516</v>
      </c>
      <c r="J386" s="10" t="s">
        <v>529</v>
      </c>
      <c r="K386" s="11">
        <v>490</v>
      </c>
      <c r="L386" s="11">
        <v>2940</v>
      </c>
      <c r="M386" s="11"/>
      <c r="N386" s="11"/>
      <c r="O386" s="11"/>
      <c r="P386" s="11"/>
      <c r="Q386" s="11">
        <v>490</v>
      </c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>
        <v>490</v>
      </c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>
        <v>490</v>
      </c>
      <c r="AS386" s="11"/>
      <c r="AT386" s="11"/>
      <c r="AU386" s="11"/>
      <c r="AV386" s="11"/>
      <c r="AW386" s="20" t="str">
        <f>HYPERLINK("http://www.openstreetmap.org/?mlat=36.8045&amp;mlon=42.4609&amp;zoom=12#map=12/36.8045/42.4609","Maplink1")</f>
        <v>Maplink1</v>
      </c>
      <c r="AX386" s="20" t="str">
        <f>HYPERLINK("https://www.google.iq/maps/search/+36.8045,42.4609/@36.8045,42.4609,14z?hl=en","Maplink2")</f>
        <v>Maplink2</v>
      </c>
      <c r="AY386" s="20" t="str">
        <f>HYPERLINK("http://www.bing.com/maps/?lvl=14&amp;sty=h&amp;cp=36.8045~42.4609&amp;sp=point.36.8045_42.4609","Maplink3")</f>
        <v>Maplink3</v>
      </c>
    </row>
    <row r="387" spans="1:51" x14ac:dyDescent="0.25">
      <c r="A387" s="9">
        <v>28440</v>
      </c>
      <c r="B387" s="10" t="s">
        <v>20</v>
      </c>
      <c r="C387" s="10" t="s">
        <v>514</v>
      </c>
      <c r="D387" s="10" t="s">
        <v>1152</v>
      </c>
      <c r="E387" s="10" t="s">
        <v>530</v>
      </c>
      <c r="F387" s="10">
        <v>36.798575999999997</v>
      </c>
      <c r="G387" s="10">
        <v>42.215418</v>
      </c>
      <c r="H387" s="10" t="s">
        <v>443</v>
      </c>
      <c r="I387" s="10" t="s">
        <v>516</v>
      </c>
      <c r="J387" s="10"/>
      <c r="K387" s="11">
        <v>80</v>
      </c>
      <c r="L387" s="11">
        <v>480</v>
      </c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>
        <v>80</v>
      </c>
      <c r="Z387" s="11"/>
      <c r="AA387" s="11"/>
      <c r="AB387" s="11"/>
      <c r="AC387" s="11"/>
      <c r="AD387" s="11"/>
      <c r="AE387" s="11"/>
      <c r="AF387" s="11">
        <v>80</v>
      </c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>
        <v>79</v>
      </c>
      <c r="AS387" s="11"/>
      <c r="AT387" s="11"/>
      <c r="AU387" s="11">
        <v>1</v>
      </c>
      <c r="AV387" s="11"/>
      <c r="AW387" s="20" t="str">
        <f>HYPERLINK("http://www.openstreetmap.org/?mlat=36.7986&amp;mlon=42.2154&amp;zoom=12#map=12/36.7986/42.2154","Maplink1")</f>
        <v>Maplink1</v>
      </c>
      <c r="AX387" s="20" t="str">
        <f>HYPERLINK("https://www.google.iq/maps/search/+36.7986,42.2154/@36.7986,42.2154,14z?hl=en","Maplink2")</f>
        <v>Maplink2</v>
      </c>
      <c r="AY387" s="20" t="str">
        <f>HYPERLINK("http://www.bing.com/maps/?lvl=14&amp;sty=h&amp;cp=36.7986~42.2154&amp;sp=point.36.7986_42.2154","Maplink3")</f>
        <v>Maplink3</v>
      </c>
    </row>
    <row r="388" spans="1:51" x14ac:dyDescent="0.25">
      <c r="A388" s="9">
        <v>25809</v>
      </c>
      <c r="B388" s="10" t="s">
        <v>20</v>
      </c>
      <c r="C388" s="10" t="s">
        <v>514</v>
      </c>
      <c r="D388" s="10" t="s">
        <v>1153</v>
      </c>
      <c r="E388" s="10" t="s">
        <v>597</v>
      </c>
      <c r="F388" s="10">
        <v>36.710863000000003</v>
      </c>
      <c r="G388" s="10">
        <v>42.61486</v>
      </c>
      <c r="H388" s="10" t="s">
        <v>443</v>
      </c>
      <c r="I388" s="10" t="s">
        <v>516</v>
      </c>
      <c r="J388" s="10"/>
      <c r="K388" s="11">
        <v>280</v>
      </c>
      <c r="L388" s="11">
        <v>1680</v>
      </c>
      <c r="M388" s="11"/>
      <c r="N388" s="11"/>
      <c r="O388" s="11"/>
      <c r="P388" s="11"/>
      <c r="Q388" s="11">
        <v>280</v>
      </c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>
        <v>280</v>
      </c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>
        <v>280</v>
      </c>
      <c r="AS388" s="11"/>
      <c r="AT388" s="11"/>
      <c r="AU388" s="11"/>
      <c r="AV388" s="11"/>
      <c r="AW388" s="20" t="str">
        <f>HYPERLINK("http://www.openstreetmap.org/?mlat=36.7109&amp;mlon=42.6149&amp;zoom=12#map=12/36.7109/42.6149","Maplink1")</f>
        <v>Maplink1</v>
      </c>
      <c r="AX388" s="20" t="str">
        <f>HYPERLINK("https://www.google.iq/maps/search/+36.7109,42.6149/@36.7109,42.6149,14z?hl=en","Maplink2")</f>
        <v>Maplink2</v>
      </c>
      <c r="AY388" s="20" t="str">
        <f>HYPERLINK("http://www.bing.com/maps/?lvl=14&amp;sty=h&amp;cp=36.7109~42.6149&amp;sp=point.36.7109_42.6149","Maplink3")</f>
        <v>Maplink3</v>
      </c>
    </row>
    <row r="389" spans="1:51" x14ac:dyDescent="0.25">
      <c r="A389" s="9">
        <v>24906</v>
      </c>
      <c r="B389" s="10" t="s">
        <v>20</v>
      </c>
      <c r="C389" s="10" t="s">
        <v>514</v>
      </c>
      <c r="D389" s="10" t="s">
        <v>532</v>
      </c>
      <c r="E389" s="10" t="s">
        <v>533</v>
      </c>
      <c r="F389" s="10">
        <v>36.603329000000002</v>
      </c>
      <c r="G389" s="10">
        <v>42.623331999999998</v>
      </c>
      <c r="H389" s="10" t="s">
        <v>443</v>
      </c>
      <c r="I389" s="10" t="s">
        <v>516</v>
      </c>
      <c r="J389" s="10"/>
      <c r="K389" s="11">
        <v>115</v>
      </c>
      <c r="L389" s="11">
        <v>690</v>
      </c>
      <c r="M389" s="11"/>
      <c r="N389" s="11"/>
      <c r="O389" s="11"/>
      <c r="P389" s="11"/>
      <c r="Q389" s="11">
        <v>110</v>
      </c>
      <c r="R389" s="11"/>
      <c r="S389" s="11"/>
      <c r="T389" s="11"/>
      <c r="U389" s="11"/>
      <c r="V389" s="11"/>
      <c r="W389" s="11"/>
      <c r="X389" s="11"/>
      <c r="Y389" s="11">
        <v>5</v>
      </c>
      <c r="Z389" s="11"/>
      <c r="AA389" s="11"/>
      <c r="AB389" s="11"/>
      <c r="AC389" s="11"/>
      <c r="AD389" s="11"/>
      <c r="AE389" s="11"/>
      <c r="AF389" s="11">
        <v>111</v>
      </c>
      <c r="AG389" s="11">
        <v>4</v>
      </c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>
        <v>115</v>
      </c>
      <c r="AS389" s="11"/>
      <c r="AT389" s="11"/>
      <c r="AU389" s="11"/>
      <c r="AV389" s="11"/>
      <c r="AW389" s="20" t="str">
        <f>HYPERLINK("http://www.openstreetmap.org/?mlat=36.6033&amp;mlon=42.6233&amp;zoom=12#map=12/36.6033/42.6233","Maplink1")</f>
        <v>Maplink1</v>
      </c>
      <c r="AX389" s="20" t="str">
        <f>HYPERLINK("https://www.google.iq/maps/search/+36.6033,42.6233/@36.6033,42.6233,14z?hl=en","Maplink2")</f>
        <v>Maplink2</v>
      </c>
      <c r="AY389" s="20" t="str">
        <f>HYPERLINK("http://www.bing.com/maps/?lvl=14&amp;sty=h&amp;cp=36.6033~42.6233&amp;sp=point.36.6033_42.6233","Maplink3")</f>
        <v>Maplink3</v>
      </c>
    </row>
    <row r="390" spans="1:51" x14ac:dyDescent="0.25">
      <c r="A390" s="9">
        <v>25690</v>
      </c>
      <c r="B390" s="10" t="s">
        <v>20</v>
      </c>
      <c r="C390" s="10" t="s">
        <v>514</v>
      </c>
      <c r="D390" s="10" t="s">
        <v>796</v>
      </c>
      <c r="E390" s="10" t="s">
        <v>534</v>
      </c>
      <c r="F390" s="10">
        <v>36.684989999999999</v>
      </c>
      <c r="G390" s="10">
        <v>42.596411000000003</v>
      </c>
      <c r="H390" s="10" t="s">
        <v>443</v>
      </c>
      <c r="I390" s="10" t="s">
        <v>516</v>
      </c>
      <c r="J390" s="10"/>
      <c r="K390" s="11">
        <v>100</v>
      </c>
      <c r="L390" s="11">
        <v>600</v>
      </c>
      <c r="M390" s="11"/>
      <c r="N390" s="11"/>
      <c r="O390" s="11"/>
      <c r="P390" s="11"/>
      <c r="Q390" s="11">
        <v>100</v>
      </c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>
        <v>100</v>
      </c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>
        <v>100</v>
      </c>
      <c r="AS390" s="11"/>
      <c r="AT390" s="11"/>
      <c r="AU390" s="11"/>
      <c r="AV390" s="11"/>
      <c r="AW390" s="20" t="str">
        <f>HYPERLINK("http://www.openstreetmap.org/?mlat=36.685&amp;mlon=42.5964&amp;zoom=12#map=12/36.685/42.5964","Maplink1")</f>
        <v>Maplink1</v>
      </c>
      <c r="AX390" s="20" t="str">
        <f>HYPERLINK("https://www.google.iq/maps/search/+36.685,42.5964/@36.685,42.5964,14z?hl=en","Maplink2")</f>
        <v>Maplink2</v>
      </c>
      <c r="AY390" s="20" t="str">
        <f>HYPERLINK("http://www.bing.com/maps/?lvl=14&amp;sty=h&amp;cp=36.685~42.5964&amp;sp=point.36.685_42.5964","Maplink3")</f>
        <v>Maplink3</v>
      </c>
    </row>
    <row r="391" spans="1:51" x14ac:dyDescent="0.25">
      <c r="A391" s="9">
        <v>28450</v>
      </c>
      <c r="B391" s="10" t="s">
        <v>20</v>
      </c>
      <c r="C391" s="10" t="s">
        <v>514</v>
      </c>
      <c r="D391" s="10" t="s">
        <v>1154</v>
      </c>
      <c r="E391" s="10" t="s">
        <v>519</v>
      </c>
      <c r="F391" s="10">
        <v>36.678334999999997</v>
      </c>
      <c r="G391" s="10">
        <v>42.395927</v>
      </c>
      <c r="H391" s="10" t="s">
        <v>443</v>
      </c>
      <c r="I391" s="10" t="s">
        <v>516</v>
      </c>
      <c r="J391" s="10"/>
      <c r="K391" s="11">
        <v>1210</v>
      </c>
      <c r="L391" s="11">
        <v>7260</v>
      </c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>
        <v>1210</v>
      </c>
      <c r="Z391" s="11"/>
      <c r="AA391" s="11"/>
      <c r="AB391" s="11"/>
      <c r="AC391" s="11"/>
      <c r="AD391" s="11"/>
      <c r="AE391" s="11"/>
      <c r="AF391" s="11">
        <v>1210</v>
      </c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>
        <v>1210</v>
      </c>
      <c r="AS391" s="11"/>
      <c r="AT391" s="11"/>
      <c r="AU391" s="11"/>
      <c r="AV391" s="11"/>
      <c r="AW391" s="20" t="str">
        <f>HYPERLINK("http://www.openstreetmap.org/?mlat=36.6783&amp;mlon=42.3959&amp;zoom=12#map=12/36.6783/42.3959","Maplink1")</f>
        <v>Maplink1</v>
      </c>
      <c r="AX391" s="20" t="str">
        <f>HYPERLINK("https://www.google.iq/maps/search/+36.6783,42.3959/@36.6783,42.3959,14z?hl=en","Maplink2")</f>
        <v>Maplink2</v>
      </c>
      <c r="AY391" s="20" t="str">
        <f>HYPERLINK("http://www.bing.com/maps/?lvl=14&amp;sty=h&amp;cp=36.6783~42.3959&amp;sp=point.36.6783_42.3959","Maplink3")</f>
        <v>Maplink3</v>
      </c>
    </row>
    <row r="392" spans="1:51" x14ac:dyDescent="0.25">
      <c r="A392" s="9">
        <v>17621</v>
      </c>
      <c r="B392" s="10" t="s">
        <v>20</v>
      </c>
      <c r="C392" s="10" t="s">
        <v>514</v>
      </c>
      <c r="D392" s="10" t="s">
        <v>535</v>
      </c>
      <c r="E392" s="10" t="s">
        <v>536</v>
      </c>
      <c r="F392" s="10">
        <v>36.583108000000003</v>
      </c>
      <c r="G392" s="10">
        <v>42.485672999999998</v>
      </c>
      <c r="H392" s="10" t="s">
        <v>443</v>
      </c>
      <c r="I392" s="10" t="s">
        <v>516</v>
      </c>
      <c r="J392" s="10" t="s">
        <v>537</v>
      </c>
      <c r="K392" s="11">
        <v>130</v>
      </c>
      <c r="L392" s="11">
        <v>780</v>
      </c>
      <c r="M392" s="11"/>
      <c r="N392" s="11"/>
      <c r="O392" s="11"/>
      <c r="P392" s="11"/>
      <c r="Q392" s="11">
        <v>110</v>
      </c>
      <c r="R392" s="11"/>
      <c r="S392" s="11"/>
      <c r="T392" s="11"/>
      <c r="U392" s="11"/>
      <c r="V392" s="11"/>
      <c r="W392" s="11"/>
      <c r="X392" s="11"/>
      <c r="Y392" s="11">
        <v>20</v>
      </c>
      <c r="Z392" s="11"/>
      <c r="AA392" s="11"/>
      <c r="AB392" s="11"/>
      <c r="AC392" s="11"/>
      <c r="AD392" s="11"/>
      <c r="AE392" s="11"/>
      <c r="AF392" s="11">
        <v>130</v>
      </c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>
        <v>130</v>
      </c>
      <c r="AS392" s="11"/>
      <c r="AT392" s="11"/>
      <c r="AU392" s="11"/>
      <c r="AV392" s="11"/>
      <c r="AW392" s="20" t="str">
        <f>HYPERLINK("http://www.openstreetmap.org/?mlat=36.5831&amp;mlon=42.4857&amp;zoom=12#map=12/36.5831/42.4857","Maplink1")</f>
        <v>Maplink1</v>
      </c>
      <c r="AX392" s="20" t="str">
        <f>HYPERLINK("https://www.google.iq/maps/search/+36.5831,42.4857/@36.5831,42.4857,14z?hl=en","Maplink2")</f>
        <v>Maplink2</v>
      </c>
      <c r="AY392" s="20" t="str">
        <f>HYPERLINK("http://www.bing.com/maps/?lvl=14&amp;sty=h&amp;cp=36.5831~42.4857&amp;sp=point.36.5831_42.4857","Maplink3")</f>
        <v>Maplink3</v>
      </c>
    </row>
    <row r="393" spans="1:51" x14ac:dyDescent="0.25">
      <c r="A393" s="9">
        <v>25980</v>
      </c>
      <c r="B393" s="10" t="s">
        <v>20</v>
      </c>
      <c r="C393" s="10" t="s">
        <v>514</v>
      </c>
      <c r="D393" s="10" t="s">
        <v>1155</v>
      </c>
      <c r="E393" s="10" t="s">
        <v>538</v>
      </c>
      <c r="F393" s="10">
        <v>36.828603999999999</v>
      </c>
      <c r="G393" s="10">
        <v>42.13823</v>
      </c>
      <c r="H393" s="10" t="s">
        <v>443</v>
      </c>
      <c r="I393" s="10" t="s">
        <v>516</v>
      </c>
      <c r="J393" s="10"/>
      <c r="K393" s="11">
        <v>15</v>
      </c>
      <c r="L393" s="11">
        <v>90</v>
      </c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>
        <v>15</v>
      </c>
      <c r="Z393" s="11"/>
      <c r="AA393" s="11"/>
      <c r="AB393" s="11"/>
      <c r="AC393" s="11"/>
      <c r="AD393" s="11"/>
      <c r="AE393" s="11"/>
      <c r="AF393" s="11">
        <v>15</v>
      </c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>
        <v>15</v>
      </c>
      <c r="AS393" s="11"/>
      <c r="AT393" s="11"/>
      <c r="AU393" s="11"/>
      <c r="AV393" s="11"/>
      <c r="AW393" s="20" t="str">
        <f>HYPERLINK("http://www.openstreetmap.org/?mlat=36.8286&amp;mlon=42.1382&amp;zoom=12#map=12/36.8286/42.1382","Maplink1")</f>
        <v>Maplink1</v>
      </c>
      <c r="AX393" s="20" t="str">
        <f>HYPERLINK("https://www.google.iq/maps/search/+36.8286,42.1382/@36.8286,42.1382,14z?hl=en","Maplink2")</f>
        <v>Maplink2</v>
      </c>
      <c r="AY393" s="20" t="str">
        <f>HYPERLINK("http://www.bing.com/maps/?lvl=14&amp;sty=h&amp;cp=36.8286~42.1382&amp;sp=point.36.8286_42.1382","Maplink3")</f>
        <v>Maplink3</v>
      </c>
    </row>
    <row r="394" spans="1:51" x14ac:dyDescent="0.25">
      <c r="A394" s="9">
        <v>27355</v>
      </c>
      <c r="B394" s="10" t="s">
        <v>20</v>
      </c>
      <c r="C394" s="10" t="s">
        <v>514</v>
      </c>
      <c r="D394" s="10" t="s">
        <v>539</v>
      </c>
      <c r="E394" s="10" t="s">
        <v>540</v>
      </c>
      <c r="F394" s="10">
        <v>36.815658999999997</v>
      </c>
      <c r="G394" s="10">
        <v>42.377710999999998</v>
      </c>
      <c r="H394" s="10" t="s">
        <v>443</v>
      </c>
      <c r="I394" s="10" t="s">
        <v>516</v>
      </c>
      <c r="J394" s="10"/>
      <c r="K394" s="11">
        <v>200</v>
      </c>
      <c r="L394" s="11">
        <v>1200</v>
      </c>
      <c r="M394" s="11"/>
      <c r="N394" s="11"/>
      <c r="O394" s="11"/>
      <c r="P394" s="11"/>
      <c r="Q394" s="11">
        <v>200</v>
      </c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>
        <v>200</v>
      </c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>
        <v>200</v>
      </c>
      <c r="AS394" s="11"/>
      <c r="AT394" s="11"/>
      <c r="AU394" s="11"/>
      <c r="AV394" s="11"/>
      <c r="AW394" s="20" t="str">
        <f>HYPERLINK("http://www.openstreetmap.org/?mlat=36.8157&amp;mlon=42.3777&amp;zoom=12#map=12/36.8157/42.3777","Maplink1")</f>
        <v>Maplink1</v>
      </c>
      <c r="AX394" s="20" t="str">
        <f>HYPERLINK("https://www.google.iq/maps/search/+36.8157,42.3777/@36.8157,42.3777,14z?hl=en","Maplink2")</f>
        <v>Maplink2</v>
      </c>
      <c r="AY394" s="20" t="str">
        <f>HYPERLINK("http://www.bing.com/maps/?lvl=14&amp;sty=h&amp;cp=36.8157~42.3777&amp;sp=point.36.8157_42.3777","Maplink3")</f>
        <v>Maplink3</v>
      </c>
    </row>
    <row r="395" spans="1:51" x14ac:dyDescent="0.25">
      <c r="A395" s="9">
        <v>25686</v>
      </c>
      <c r="B395" s="10" t="s">
        <v>20</v>
      </c>
      <c r="C395" s="10" t="s">
        <v>514</v>
      </c>
      <c r="D395" s="10" t="s">
        <v>1156</v>
      </c>
      <c r="E395" s="10" t="s">
        <v>546</v>
      </c>
      <c r="F395" s="10">
        <v>36.802517999999999</v>
      </c>
      <c r="G395" s="10">
        <v>42.099220000000003</v>
      </c>
      <c r="H395" s="10" t="s">
        <v>443</v>
      </c>
      <c r="I395" s="10" t="s">
        <v>516</v>
      </c>
      <c r="J395" s="10"/>
      <c r="K395" s="11">
        <v>160</v>
      </c>
      <c r="L395" s="11">
        <v>960</v>
      </c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>
        <v>160</v>
      </c>
      <c r="Z395" s="11"/>
      <c r="AA395" s="11"/>
      <c r="AB395" s="11"/>
      <c r="AC395" s="11"/>
      <c r="AD395" s="11"/>
      <c r="AE395" s="11"/>
      <c r="AF395" s="11">
        <v>160</v>
      </c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>
        <v>155</v>
      </c>
      <c r="AS395" s="11"/>
      <c r="AT395" s="11"/>
      <c r="AU395" s="11">
        <v>5</v>
      </c>
      <c r="AV395" s="11"/>
      <c r="AW395" s="20" t="str">
        <f>HYPERLINK("http://www.openstreetmap.org/?mlat=36.8025&amp;mlon=42.0992&amp;zoom=12#map=12/36.8025/42.0992","Maplink1")</f>
        <v>Maplink1</v>
      </c>
      <c r="AX395" s="20" t="str">
        <f>HYPERLINK("https://www.google.iq/maps/search/+36.8025,42.0992/@36.8025,42.0992,14z?hl=en","Maplink2")</f>
        <v>Maplink2</v>
      </c>
      <c r="AY395" s="20" t="str">
        <f>HYPERLINK("http://www.bing.com/maps/?lvl=14&amp;sty=h&amp;cp=36.8025~42.0992&amp;sp=point.36.8025_42.0992","Maplink3")</f>
        <v>Maplink3</v>
      </c>
    </row>
    <row r="396" spans="1:51" x14ac:dyDescent="0.25">
      <c r="A396" s="9">
        <v>18308</v>
      </c>
      <c r="B396" s="10" t="s">
        <v>20</v>
      </c>
      <c r="C396" s="10" t="s">
        <v>514</v>
      </c>
      <c r="D396" s="10" t="s">
        <v>1004</v>
      </c>
      <c r="E396" s="10" t="s">
        <v>545</v>
      </c>
      <c r="F396" s="10">
        <v>36.808385000000001</v>
      </c>
      <c r="G396" s="10">
        <v>42.090713000000001</v>
      </c>
      <c r="H396" s="10" t="s">
        <v>443</v>
      </c>
      <c r="I396" s="10" t="s">
        <v>516</v>
      </c>
      <c r="J396" s="10"/>
      <c r="K396" s="11">
        <v>1010</v>
      </c>
      <c r="L396" s="11">
        <v>6060</v>
      </c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>
        <v>1010</v>
      </c>
      <c r="Z396" s="11"/>
      <c r="AA396" s="11"/>
      <c r="AB396" s="11"/>
      <c r="AC396" s="11"/>
      <c r="AD396" s="11"/>
      <c r="AE396" s="11"/>
      <c r="AF396" s="11">
        <v>1010</v>
      </c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>
        <v>1005</v>
      </c>
      <c r="AS396" s="11"/>
      <c r="AT396" s="11"/>
      <c r="AU396" s="11">
        <v>5</v>
      </c>
      <c r="AV396" s="11"/>
      <c r="AW396" s="20" t="str">
        <f>HYPERLINK("http://www.openstreetmap.org/?mlat=36.8084&amp;mlon=42.0907&amp;zoom=12#map=12/36.8084/42.0907","Maplink1")</f>
        <v>Maplink1</v>
      </c>
      <c r="AX396" s="20" t="str">
        <f>HYPERLINK("https://www.google.iq/maps/search/+36.8084,42.0907/@36.8084,42.0907,14z?hl=en","Maplink2")</f>
        <v>Maplink2</v>
      </c>
      <c r="AY396" s="20" t="str">
        <f>HYPERLINK("http://www.bing.com/maps/?lvl=14&amp;sty=h&amp;cp=36.8084~42.0907&amp;sp=point.36.8084_42.0907","Maplink3")</f>
        <v>Maplink3</v>
      </c>
    </row>
    <row r="397" spans="1:51" x14ac:dyDescent="0.25">
      <c r="A397" s="9">
        <v>24701</v>
      </c>
      <c r="B397" s="10" t="s">
        <v>20</v>
      </c>
      <c r="C397" s="10" t="s">
        <v>514</v>
      </c>
      <c r="D397" s="10" t="s">
        <v>797</v>
      </c>
      <c r="E397" s="10" t="s">
        <v>549</v>
      </c>
      <c r="F397" s="10">
        <v>36.799892999999997</v>
      </c>
      <c r="G397" s="10">
        <v>42.101542999999999</v>
      </c>
      <c r="H397" s="10" t="s">
        <v>443</v>
      </c>
      <c r="I397" s="10" t="s">
        <v>516</v>
      </c>
      <c r="J397" s="10"/>
      <c r="K397" s="11">
        <v>375</v>
      </c>
      <c r="L397" s="11">
        <v>2250</v>
      </c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>
        <v>375</v>
      </c>
      <c r="Z397" s="11"/>
      <c r="AA397" s="11"/>
      <c r="AB397" s="11"/>
      <c r="AC397" s="11"/>
      <c r="AD397" s="11"/>
      <c r="AE397" s="11"/>
      <c r="AF397" s="11">
        <v>375</v>
      </c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>
        <v>335</v>
      </c>
      <c r="AS397" s="11"/>
      <c r="AT397" s="11"/>
      <c r="AU397" s="11">
        <v>40</v>
      </c>
      <c r="AV397" s="11"/>
      <c r="AW397" s="20" t="str">
        <f>HYPERLINK("http://www.openstreetmap.org/?mlat=36.7999&amp;mlon=42.1015&amp;zoom=12#map=12/36.7999/42.1015","Maplink1")</f>
        <v>Maplink1</v>
      </c>
      <c r="AX397" s="20" t="str">
        <f>HYPERLINK("https://www.google.iq/maps/search/+36.7999,42.1015/@36.7999,42.1015,14z?hl=en","Maplink2")</f>
        <v>Maplink2</v>
      </c>
      <c r="AY397" s="20" t="str">
        <f>HYPERLINK("http://www.bing.com/maps/?lvl=14&amp;sty=h&amp;cp=36.7999~42.1015&amp;sp=point.36.7999_42.1015","Maplink3")</f>
        <v>Maplink3</v>
      </c>
    </row>
    <row r="398" spans="1:51" x14ac:dyDescent="0.25">
      <c r="A398" s="9">
        <v>18305</v>
      </c>
      <c r="B398" s="10" t="s">
        <v>20</v>
      </c>
      <c r="C398" s="10" t="s">
        <v>514</v>
      </c>
      <c r="D398" s="10" t="s">
        <v>541</v>
      </c>
      <c r="E398" s="10" t="s">
        <v>542</v>
      </c>
      <c r="F398" s="10">
        <v>36.387056999999999</v>
      </c>
      <c r="G398" s="10">
        <v>42.460937000000001</v>
      </c>
      <c r="H398" s="10" t="s">
        <v>443</v>
      </c>
      <c r="I398" s="10" t="s">
        <v>516</v>
      </c>
      <c r="J398" s="10" t="s">
        <v>543</v>
      </c>
      <c r="K398" s="11">
        <v>10</v>
      </c>
      <c r="L398" s="11">
        <v>60</v>
      </c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>
        <v>10</v>
      </c>
      <c r="Z398" s="11"/>
      <c r="AA398" s="11"/>
      <c r="AB398" s="11"/>
      <c r="AC398" s="11"/>
      <c r="AD398" s="11"/>
      <c r="AE398" s="11"/>
      <c r="AF398" s="11">
        <v>10</v>
      </c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>
        <v>10</v>
      </c>
      <c r="AS398" s="11"/>
      <c r="AT398" s="11"/>
      <c r="AU398" s="11"/>
      <c r="AV398" s="11"/>
      <c r="AW398" s="20" t="str">
        <f>HYPERLINK("http://www.openstreetmap.org/?mlat=36.3871&amp;mlon=42.4609&amp;zoom=12#map=12/36.3871/42.4609","Maplink1")</f>
        <v>Maplink1</v>
      </c>
      <c r="AX398" s="20" t="str">
        <f>HYPERLINK("https://www.google.iq/maps/search/+36.3871,42.4609/@36.3871,42.4609,14z?hl=en","Maplink2")</f>
        <v>Maplink2</v>
      </c>
      <c r="AY398" s="20" t="str">
        <f>HYPERLINK("http://www.bing.com/maps/?lvl=14&amp;sty=h&amp;cp=36.3871~42.4609&amp;sp=point.36.3871_42.4609","Maplink3")</f>
        <v>Maplink3</v>
      </c>
    </row>
    <row r="399" spans="1:51" x14ac:dyDescent="0.25">
      <c r="A399" s="9">
        <v>25688</v>
      </c>
      <c r="B399" s="10" t="s">
        <v>20</v>
      </c>
      <c r="C399" s="10" t="s">
        <v>514</v>
      </c>
      <c r="D399" s="10" t="s">
        <v>1157</v>
      </c>
      <c r="E399" s="10" t="s">
        <v>550</v>
      </c>
      <c r="F399" s="10">
        <v>36.806666</v>
      </c>
      <c r="G399" s="10">
        <v>42.099963000000002</v>
      </c>
      <c r="H399" s="10" t="s">
        <v>443</v>
      </c>
      <c r="I399" s="10" t="s">
        <v>516</v>
      </c>
      <c r="J399" s="10"/>
      <c r="K399" s="11">
        <v>405</v>
      </c>
      <c r="L399" s="11">
        <v>2430</v>
      </c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>
        <v>405</v>
      </c>
      <c r="Z399" s="11"/>
      <c r="AA399" s="11"/>
      <c r="AB399" s="11"/>
      <c r="AC399" s="11"/>
      <c r="AD399" s="11"/>
      <c r="AE399" s="11"/>
      <c r="AF399" s="11">
        <v>405</v>
      </c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>
        <v>395</v>
      </c>
      <c r="AS399" s="11"/>
      <c r="AT399" s="11"/>
      <c r="AU399" s="11">
        <v>10</v>
      </c>
      <c r="AV399" s="11"/>
      <c r="AW399" s="20" t="str">
        <f>HYPERLINK("http://www.openstreetmap.org/?mlat=36.8067&amp;mlon=42.1&amp;zoom=12#map=12/36.8067/42.1","Maplink1")</f>
        <v>Maplink1</v>
      </c>
      <c r="AX399" s="20" t="str">
        <f>HYPERLINK("https://www.google.iq/maps/search/+36.8067,42.1/@36.8067,42.1,14z?hl=en","Maplink2")</f>
        <v>Maplink2</v>
      </c>
      <c r="AY399" s="20" t="str">
        <f>HYPERLINK("http://www.bing.com/maps/?lvl=14&amp;sty=h&amp;cp=36.8067~42.1&amp;sp=point.36.8067_42.1","Maplink3")</f>
        <v>Maplink3</v>
      </c>
    </row>
    <row r="400" spans="1:51" x14ac:dyDescent="0.25">
      <c r="A400" s="9">
        <v>18303</v>
      </c>
      <c r="B400" s="10" t="s">
        <v>20</v>
      </c>
      <c r="C400" s="10" t="s">
        <v>514</v>
      </c>
      <c r="D400" s="10" t="s">
        <v>1158</v>
      </c>
      <c r="E400" s="10" t="s">
        <v>388</v>
      </c>
      <c r="F400" s="10">
        <v>36.388554999999997</v>
      </c>
      <c r="G400" s="10">
        <v>42.463985999999998</v>
      </c>
      <c r="H400" s="10" t="s">
        <v>443</v>
      </c>
      <c r="I400" s="10" t="s">
        <v>516</v>
      </c>
      <c r="J400" s="10" t="s">
        <v>551</v>
      </c>
      <c r="K400" s="11">
        <v>16</v>
      </c>
      <c r="L400" s="11">
        <v>96</v>
      </c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>
        <v>16</v>
      </c>
      <c r="Z400" s="11"/>
      <c r="AA400" s="11"/>
      <c r="AB400" s="11"/>
      <c r="AC400" s="11"/>
      <c r="AD400" s="11"/>
      <c r="AE400" s="11"/>
      <c r="AF400" s="11">
        <v>16</v>
      </c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>
        <v>16</v>
      </c>
      <c r="AS400" s="11"/>
      <c r="AT400" s="11"/>
      <c r="AU400" s="11"/>
      <c r="AV400" s="11"/>
      <c r="AW400" s="20" t="str">
        <f>HYPERLINK("http://www.openstreetmap.org/?mlat=36.3886&amp;mlon=42.464&amp;zoom=12#map=12/36.3886/42.464","Maplink1")</f>
        <v>Maplink1</v>
      </c>
      <c r="AX400" s="20" t="str">
        <f>HYPERLINK("https://www.google.iq/maps/search/+36.3886,42.464/@36.3886,42.464,14z?hl=en","Maplink2")</f>
        <v>Maplink2</v>
      </c>
      <c r="AY400" s="20" t="str">
        <f>HYPERLINK("http://www.bing.com/maps/?lvl=14&amp;sty=h&amp;cp=36.3886~42.464&amp;sp=point.36.3886_42.464","Maplink3")</f>
        <v>Maplink3</v>
      </c>
    </row>
    <row r="401" spans="1:51" x14ac:dyDescent="0.25">
      <c r="A401" s="9">
        <v>25687</v>
      </c>
      <c r="B401" s="10" t="s">
        <v>20</v>
      </c>
      <c r="C401" s="10" t="s">
        <v>514</v>
      </c>
      <c r="D401" s="10" t="s">
        <v>1159</v>
      </c>
      <c r="E401" s="10" t="s">
        <v>552</v>
      </c>
      <c r="F401" s="10">
        <v>36.800964</v>
      </c>
      <c r="G401" s="10">
        <v>42.089575000000004</v>
      </c>
      <c r="H401" s="10" t="s">
        <v>443</v>
      </c>
      <c r="I401" s="10" t="s">
        <v>516</v>
      </c>
      <c r="J401" s="10"/>
      <c r="K401" s="11">
        <v>120</v>
      </c>
      <c r="L401" s="11">
        <v>720</v>
      </c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>
        <v>120</v>
      </c>
      <c r="Z401" s="11"/>
      <c r="AA401" s="11"/>
      <c r="AB401" s="11"/>
      <c r="AC401" s="11"/>
      <c r="AD401" s="11"/>
      <c r="AE401" s="11"/>
      <c r="AF401" s="11">
        <v>120</v>
      </c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>
        <v>119</v>
      </c>
      <c r="AS401" s="11"/>
      <c r="AT401" s="11"/>
      <c r="AU401" s="11">
        <v>1</v>
      </c>
      <c r="AV401" s="11"/>
      <c r="AW401" s="20" t="str">
        <f>HYPERLINK("http://www.openstreetmap.org/?mlat=36.801&amp;mlon=42.0896&amp;zoom=12#map=12/36.801/42.0896","Maplink1")</f>
        <v>Maplink1</v>
      </c>
      <c r="AX401" s="20" t="str">
        <f>HYPERLINK("https://www.google.iq/maps/search/+36.801,42.0896/@36.801,42.0896,14z?hl=en","Maplink2")</f>
        <v>Maplink2</v>
      </c>
      <c r="AY401" s="20" t="str">
        <f>HYPERLINK("http://www.bing.com/maps/?lvl=14&amp;sty=h&amp;cp=36.801~42.0896&amp;sp=point.36.801_42.0896","Maplink3")</f>
        <v>Maplink3</v>
      </c>
    </row>
    <row r="402" spans="1:51" x14ac:dyDescent="0.25">
      <c r="A402" s="9">
        <v>18309</v>
      </c>
      <c r="B402" s="10" t="s">
        <v>20</v>
      </c>
      <c r="C402" s="10" t="s">
        <v>514</v>
      </c>
      <c r="D402" s="10" t="s">
        <v>544</v>
      </c>
      <c r="E402" s="10" t="s">
        <v>358</v>
      </c>
      <c r="F402" s="10">
        <v>36.382618000000001</v>
      </c>
      <c r="G402" s="10">
        <v>42.465124000000003</v>
      </c>
      <c r="H402" s="10" t="s">
        <v>443</v>
      </c>
      <c r="I402" s="10" t="s">
        <v>516</v>
      </c>
      <c r="J402" s="10"/>
      <c r="K402" s="11">
        <v>20</v>
      </c>
      <c r="L402" s="11">
        <v>120</v>
      </c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>
        <v>20</v>
      </c>
      <c r="Z402" s="11"/>
      <c r="AA402" s="11"/>
      <c r="AB402" s="11"/>
      <c r="AC402" s="11"/>
      <c r="AD402" s="11"/>
      <c r="AE402" s="11"/>
      <c r="AF402" s="11">
        <v>20</v>
      </c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>
        <v>20</v>
      </c>
      <c r="AS402" s="11"/>
      <c r="AT402" s="11"/>
      <c r="AU402" s="11"/>
      <c r="AV402" s="11"/>
      <c r="AW402" s="20" t="str">
        <f>HYPERLINK("http://www.openstreetmap.org/?mlat=36.3826&amp;mlon=42.4651&amp;zoom=12#map=12/36.3826/42.4651","Maplink1")</f>
        <v>Maplink1</v>
      </c>
      <c r="AX402" s="20" t="str">
        <f>HYPERLINK("https://www.google.iq/maps/search/+36.3826,42.4651/@36.3826,42.4651,14z?hl=en","Maplink2")</f>
        <v>Maplink2</v>
      </c>
      <c r="AY402" s="20" t="str">
        <f>HYPERLINK("http://www.bing.com/maps/?lvl=14&amp;sty=h&amp;cp=36.3826~42.4651&amp;sp=point.36.3826_42.4651","Maplink3")</f>
        <v>Maplink3</v>
      </c>
    </row>
    <row r="403" spans="1:51" x14ac:dyDescent="0.25">
      <c r="A403" s="9">
        <v>18304</v>
      </c>
      <c r="B403" s="10" t="s">
        <v>20</v>
      </c>
      <c r="C403" s="10" t="s">
        <v>514</v>
      </c>
      <c r="D403" s="10" t="s">
        <v>1160</v>
      </c>
      <c r="E403" s="10" t="s">
        <v>294</v>
      </c>
      <c r="F403" s="10">
        <v>36.367207000000001</v>
      </c>
      <c r="G403" s="10">
        <v>42.432093999999999</v>
      </c>
      <c r="H403" s="10" t="s">
        <v>443</v>
      </c>
      <c r="I403" s="10" t="s">
        <v>516</v>
      </c>
      <c r="J403" s="10"/>
      <c r="K403" s="11">
        <v>25</v>
      </c>
      <c r="L403" s="11">
        <v>150</v>
      </c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>
        <v>25</v>
      </c>
      <c r="Z403" s="11"/>
      <c r="AA403" s="11"/>
      <c r="AB403" s="11"/>
      <c r="AC403" s="11"/>
      <c r="AD403" s="11"/>
      <c r="AE403" s="11"/>
      <c r="AF403" s="11">
        <v>25</v>
      </c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>
        <v>25</v>
      </c>
      <c r="AS403" s="11"/>
      <c r="AT403" s="11"/>
      <c r="AU403" s="11"/>
      <c r="AV403" s="11"/>
      <c r="AW403" s="20" t="str">
        <f>HYPERLINK("http://www.openstreetmap.org/?mlat=36.3672&amp;mlon=42.4321&amp;zoom=12#map=12/36.3672/42.4321","Maplink1")</f>
        <v>Maplink1</v>
      </c>
      <c r="AX403" s="20" t="str">
        <f>HYPERLINK("https://www.google.iq/maps/search/+36.3672,42.4321/@36.3672,42.4321,14z?hl=en","Maplink2")</f>
        <v>Maplink2</v>
      </c>
      <c r="AY403" s="20" t="str">
        <f>HYPERLINK("http://www.bing.com/maps/?lvl=14&amp;sty=h&amp;cp=36.3672~42.4321&amp;sp=point.36.3672_42.4321","Maplink3")</f>
        <v>Maplink3</v>
      </c>
    </row>
    <row r="404" spans="1:51" x14ac:dyDescent="0.25">
      <c r="A404" s="9">
        <v>25819</v>
      </c>
      <c r="B404" s="10" t="s">
        <v>20</v>
      </c>
      <c r="C404" s="10" t="s">
        <v>514</v>
      </c>
      <c r="D404" s="10" t="s">
        <v>1161</v>
      </c>
      <c r="E404" s="10" t="s">
        <v>356</v>
      </c>
      <c r="F404" s="10">
        <v>36.373448000000003</v>
      </c>
      <c r="G404" s="10">
        <v>42.465091999999999</v>
      </c>
      <c r="H404" s="10" t="s">
        <v>443</v>
      </c>
      <c r="I404" s="10" t="s">
        <v>516</v>
      </c>
      <c r="J404" s="10"/>
      <c r="K404" s="11">
        <v>53</v>
      </c>
      <c r="L404" s="11">
        <v>318</v>
      </c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>
        <v>53</v>
      </c>
      <c r="Z404" s="11"/>
      <c r="AA404" s="11"/>
      <c r="AB404" s="11"/>
      <c r="AC404" s="11"/>
      <c r="AD404" s="11"/>
      <c r="AE404" s="11"/>
      <c r="AF404" s="11">
        <v>53</v>
      </c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>
        <v>53</v>
      </c>
      <c r="AS404" s="11"/>
      <c r="AT404" s="11"/>
      <c r="AU404" s="11"/>
      <c r="AV404" s="11"/>
      <c r="AW404" s="20" t="str">
        <f>HYPERLINK("http://www.openstreetmap.org/?mlat=36.3734&amp;mlon=42.4651&amp;zoom=12#map=12/36.3734/42.4651","Maplink1")</f>
        <v>Maplink1</v>
      </c>
      <c r="AX404" s="20" t="str">
        <f>HYPERLINK("https://www.google.iq/maps/search/+36.3734,42.4651/@36.3734,42.4651,14z?hl=en","Maplink2")</f>
        <v>Maplink2</v>
      </c>
      <c r="AY404" s="20" t="str">
        <f>HYPERLINK("http://www.bing.com/maps/?lvl=14&amp;sty=h&amp;cp=36.3734~42.4651&amp;sp=point.36.3734_42.4651","Maplink3")</f>
        <v>Maplink3</v>
      </c>
    </row>
    <row r="405" spans="1:51" x14ac:dyDescent="0.25">
      <c r="A405" s="9">
        <v>25808</v>
      </c>
      <c r="B405" s="10" t="s">
        <v>20</v>
      </c>
      <c r="C405" s="10" t="s">
        <v>514</v>
      </c>
      <c r="D405" s="10" t="s">
        <v>1162</v>
      </c>
      <c r="E405" s="10" t="s">
        <v>547</v>
      </c>
      <c r="F405" s="10">
        <v>36.807965000000003</v>
      </c>
      <c r="G405" s="10">
        <v>42.096708</v>
      </c>
      <c r="H405" s="10" t="s">
        <v>443</v>
      </c>
      <c r="I405" s="10" t="s">
        <v>516</v>
      </c>
      <c r="J405" s="10"/>
      <c r="K405" s="11">
        <v>500</v>
      </c>
      <c r="L405" s="11">
        <v>3000</v>
      </c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>
        <v>500</v>
      </c>
      <c r="Z405" s="11"/>
      <c r="AA405" s="11"/>
      <c r="AB405" s="11"/>
      <c r="AC405" s="11"/>
      <c r="AD405" s="11"/>
      <c r="AE405" s="11"/>
      <c r="AF405" s="11">
        <v>500</v>
      </c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>
        <v>500</v>
      </c>
      <c r="AS405" s="11"/>
      <c r="AT405" s="11"/>
      <c r="AU405" s="11"/>
      <c r="AV405" s="11"/>
      <c r="AW405" s="20" t="str">
        <f>HYPERLINK("http://www.openstreetmap.org/?mlat=36.808&amp;mlon=42.0967&amp;zoom=12#map=12/36.808/42.0967","Maplink1")</f>
        <v>Maplink1</v>
      </c>
      <c r="AX405" s="20" t="str">
        <f>HYPERLINK("https://www.google.iq/maps/search/+36.808,42.0967/@36.808,42.0967,14z?hl=en","Maplink2")</f>
        <v>Maplink2</v>
      </c>
      <c r="AY405" s="20" t="str">
        <f>HYPERLINK("http://www.bing.com/maps/?lvl=14&amp;sty=h&amp;cp=36.808~42.0967&amp;sp=point.36.808_42.0967","Maplink3")</f>
        <v>Maplink3</v>
      </c>
    </row>
    <row r="406" spans="1:51" x14ac:dyDescent="0.25">
      <c r="A406" s="9">
        <v>25807</v>
      </c>
      <c r="B406" s="10" t="s">
        <v>20</v>
      </c>
      <c r="C406" s="10" t="s">
        <v>514</v>
      </c>
      <c r="D406" s="10" t="s">
        <v>1163</v>
      </c>
      <c r="E406" s="10" t="s">
        <v>548</v>
      </c>
      <c r="F406" s="10">
        <v>36.805712999999997</v>
      </c>
      <c r="G406" s="10">
        <v>42.090367999999998</v>
      </c>
      <c r="H406" s="10" t="s">
        <v>443</v>
      </c>
      <c r="I406" s="10" t="s">
        <v>516</v>
      </c>
      <c r="J406" s="10"/>
      <c r="K406" s="11">
        <v>215</v>
      </c>
      <c r="L406" s="11">
        <v>1290</v>
      </c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>
        <v>215</v>
      </c>
      <c r="Z406" s="11"/>
      <c r="AA406" s="11"/>
      <c r="AB406" s="11"/>
      <c r="AC406" s="11"/>
      <c r="AD406" s="11"/>
      <c r="AE406" s="11"/>
      <c r="AF406" s="11">
        <v>215</v>
      </c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>
        <v>215</v>
      </c>
      <c r="AS406" s="11"/>
      <c r="AT406" s="11"/>
      <c r="AU406" s="11"/>
      <c r="AV406" s="11"/>
      <c r="AW406" s="20" t="str">
        <f>HYPERLINK("http://www.openstreetmap.org/?mlat=36.8057&amp;mlon=42.0904&amp;zoom=12#map=12/36.8057/42.0904","Maplink1")</f>
        <v>Maplink1</v>
      </c>
      <c r="AX406" s="20" t="str">
        <f>HYPERLINK("https://www.google.iq/maps/search/+36.8057,42.0904/@36.8057,42.0904,14z?hl=en","Maplink2")</f>
        <v>Maplink2</v>
      </c>
      <c r="AY406" s="20" t="str">
        <f>HYPERLINK("http://www.bing.com/maps/?lvl=14&amp;sty=h&amp;cp=36.8057~42.0904&amp;sp=point.36.8057_42.0904","Maplink3")</f>
        <v>Maplink3</v>
      </c>
    </row>
    <row r="407" spans="1:51" x14ac:dyDescent="0.25">
      <c r="A407" s="9">
        <v>27395</v>
      </c>
      <c r="B407" s="10" t="s">
        <v>20</v>
      </c>
      <c r="C407" s="10" t="s">
        <v>514</v>
      </c>
      <c r="D407" s="10" t="s">
        <v>553</v>
      </c>
      <c r="E407" s="10" t="s">
        <v>554</v>
      </c>
      <c r="F407" s="10">
        <v>36.561117000000003</v>
      </c>
      <c r="G407" s="10">
        <v>42.576006999999997</v>
      </c>
      <c r="H407" s="10" t="s">
        <v>443</v>
      </c>
      <c r="I407" s="10" t="s">
        <v>516</v>
      </c>
      <c r="J407" s="10"/>
      <c r="K407" s="11">
        <v>150</v>
      </c>
      <c r="L407" s="11">
        <v>900</v>
      </c>
      <c r="M407" s="11"/>
      <c r="N407" s="11"/>
      <c r="O407" s="11"/>
      <c r="P407" s="11"/>
      <c r="Q407" s="11">
        <v>138</v>
      </c>
      <c r="R407" s="11"/>
      <c r="S407" s="11"/>
      <c r="T407" s="11"/>
      <c r="U407" s="11"/>
      <c r="V407" s="11"/>
      <c r="W407" s="11"/>
      <c r="X407" s="11"/>
      <c r="Y407" s="11">
        <v>12</v>
      </c>
      <c r="Z407" s="11"/>
      <c r="AA407" s="11"/>
      <c r="AB407" s="11"/>
      <c r="AC407" s="11"/>
      <c r="AD407" s="11"/>
      <c r="AE407" s="11"/>
      <c r="AF407" s="11">
        <v>138</v>
      </c>
      <c r="AG407" s="11">
        <v>12</v>
      </c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>
        <v>150</v>
      </c>
      <c r="AS407" s="11"/>
      <c r="AT407" s="11"/>
      <c r="AU407" s="11"/>
      <c r="AV407" s="11"/>
      <c r="AW407" s="20" t="str">
        <f>HYPERLINK("http://www.openstreetmap.org/?mlat=36.5611&amp;mlon=42.576&amp;zoom=12#map=12/36.5611/42.576","Maplink1")</f>
        <v>Maplink1</v>
      </c>
      <c r="AX407" s="20" t="str">
        <f>HYPERLINK("https://www.google.iq/maps/search/+36.5611,42.576/@36.5611,42.576,14z?hl=en","Maplink2")</f>
        <v>Maplink2</v>
      </c>
      <c r="AY407" s="20" t="str">
        <f>HYPERLINK("http://www.bing.com/maps/?lvl=14&amp;sty=h&amp;cp=36.5611~42.576&amp;sp=point.36.5611_42.576","Maplink3")</f>
        <v>Maplink3</v>
      </c>
    </row>
    <row r="408" spans="1:51" x14ac:dyDescent="0.25">
      <c r="A408" s="9">
        <v>27357</v>
      </c>
      <c r="B408" s="10" t="s">
        <v>20</v>
      </c>
      <c r="C408" s="10" t="s">
        <v>514</v>
      </c>
      <c r="D408" s="10" t="s">
        <v>555</v>
      </c>
      <c r="E408" s="10" t="s">
        <v>556</v>
      </c>
      <c r="F408" s="10">
        <v>36.569606999999998</v>
      </c>
      <c r="G408" s="10">
        <v>42.149697000000003</v>
      </c>
      <c r="H408" s="10" t="s">
        <v>443</v>
      </c>
      <c r="I408" s="10" t="s">
        <v>516</v>
      </c>
      <c r="J408" s="10"/>
      <c r="K408" s="11">
        <v>73</v>
      </c>
      <c r="L408" s="11">
        <v>438</v>
      </c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>
        <v>73</v>
      </c>
      <c r="Z408" s="11"/>
      <c r="AA408" s="11"/>
      <c r="AB408" s="11"/>
      <c r="AC408" s="11"/>
      <c r="AD408" s="11"/>
      <c r="AE408" s="11"/>
      <c r="AF408" s="11">
        <v>73</v>
      </c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>
        <v>70</v>
      </c>
      <c r="AS408" s="11"/>
      <c r="AT408" s="11"/>
      <c r="AU408" s="11">
        <v>3</v>
      </c>
      <c r="AV408" s="11"/>
      <c r="AW408" s="20" t="str">
        <f>HYPERLINK("http://www.openstreetmap.org/?mlat=36.5696&amp;mlon=42.1497&amp;zoom=12#map=12/36.5696/42.1497","Maplink1")</f>
        <v>Maplink1</v>
      </c>
      <c r="AX408" s="20" t="str">
        <f>HYPERLINK("https://www.google.iq/maps/search/+36.5696,42.1497/@36.5696,42.1497,14z?hl=en","Maplink2")</f>
        <v>Maplink2</v>
      </c>
      <c r="AY408" s="20" t="str">
        <f>HYPERLINK("http://www.bing.com/maps/?lvl=14&amp;sty=h&amp;cp=36.5696~42.1497&amp;sp=point.36.5696_42.1497","Maplink3")</f>
        <v>Maplink3</v>
      </c>
    </row>
    <row r="409" spans="1:51" x14ac:dyDescent="0.25">
      <c r="A409" s="9">
        <v>27353</v>
      </c>
      <c r="B409" s="10" t="s">
        <v>20</v>
      </c>
      <c r="C409" s="10" t="s">
        <v>514</v>
      </c>
      <c r="D409" s="10" t="s">
        <v>557</v>
      </c>
      <c r="E409" s="10" t="s">
        <v>558</v>
      </c>
      <c r="F409" s="10">
        <v>36.977297999999998</v>
      </c>
      <c r="G409" s="10">
        <v>42.345125000000003</v>
      </c>
      <c r="H409" s="10" t="s">
        <v>443</v>
      </c>
      <c r="I409" s="10" t="s">
        <v>516</v>
      </c>
      <c r="J409" s="10"/>
      <c r="K409" s="11">
        <v>60</v>
      </c>
      <c r="L409" s="11">
        <v>360</v>
      </c>
      <c r="M409" s="11"/>
      <c r="N409" s="11"/>
      <c r="O409" s="11"/>
      <c r="P409" s="11"/>
      <c r="Q409" s="11">
        <v>60</v>
      </c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>
        <v>60</v>
      </c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>
        <v>60</v>
      </c>
      <c r="AS409" s="11"/>
      <c r="AT409" s="11"/>
      <c r="AU409" s="11"/>
      <c r="AV409" s="11"/>
      <c r="AW409" s="20" t="str">
        <f>HYPERLINK("http://www.openstreetmap.org/?mlat=36.9773&amp;mlon=42.3451&amp;zoom=12#map=12/36.9773/42.3451","Maplink1")</f>
        <v>Maplink1</v>
      </c>
      <c r="AX409" s="20" t="str">
        <f>HYPERLINK("https://www.google.iq/maps/search/+36.9773,42.3451/@36.9773,42.3451,14z?hl=en","Maplink2")</f>
        <v>Maplink2</v>
      </c>
      <c r="AY409" s="20" t="str">
        <f>HYPERLINK("http://www.bing.com/maps/?lvl=14&amp;sty=h&amp;cp=36.9773~42.3451&amp;sp=point.36.9773_42.3451","Maplink3")</f>
        <v>Maplink3</v>
      </c>
    </row>
    <row r="410" spans="1:51" x14ac:dyDescent="0.25">
      <c r="A410" s="9">
        <v>17580</v>
      </c>
      <c r="B410" s="10" t="s">
        <v>20</v>
      </c>
      <c r="C410" s="10" t="s">
        <v>514</v>
      </c>
      <c r="D410" s="10" t="s">
        <v>1164</v>
      </c>
      <c r="E410" s="10" t="s">
        <v>559</v>
      </c>
      <c r="F410" s="10">
        <v>36.590000000000003</v>
      </c>
      <c r="G410" s="10">
        <v>42.67</v>
      </c>
      <c r="H410" s="10" t="s">
        <v>443</v>
      </c>
      <c r="I410" s="10" t="s">
        <v>516</v>
      </c>
      <c r="J410" s="10" t="s">
        <v>560</v>
      </c>
      <c r="K410" s="11">
        <v>310</v>
      </c>
      <c r="L410" s="11">
        <v>1860</v>
      </c>
      <c r="M410" s="11"/>
      <c r="N410" s="11"/>
      <c r="O410" s="11"/>
      <c r="P410" s="11"/>
      <c r="Q410" s="11">
        <v>310</v>
      </c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>
        <v>310</v>
      </c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>
        <v>310</v>
      </c>
      <c r="AS410" s="11"/>
      <c r="AT410" s="11"/>
      <c r="AU410" s="11"/>
      <c r="AV410" s="11"/>
      <c r="AW410" s="20" t="str">
        <f>HYPERLINK("http://www.openstreetmap.org/?mlat=36.59&amp;mlon=42.67&amp;zoom=12#map=12/36.59/42.67","Maplink1")</f>
        <v>Maplink1</v>
      </c>
      <c r="AX410" s="20" t="str">
        <f>HYPERLINK("https://www.google.iq/maps/search/+36.59,42.67/@36.59,42.67,14z?hl=en","Maplink2")</f>
        <v>Maplink2</v>
      </c>
      <c r="AY410" s="20" t="str">
        <f>HYPERLINK("http://www.bing.com/maps/?lvl=14&amp;sty=h&amp;cp=36.59~42.67&amp;sp=point.36.59_42.67","Maplink3")</f>
        <v>Maplink3</v>
      </c>
    </row>
    <row r="411" spans="1:51" x14ac:dyDescent="0.25">
      <c r="A411" s="9">
        <v>22448</v>
      </c>
      <c r="B411" s="10" t="s">
        <v>20</v>
      </c>
      <c r="C411" s="10" t="s">
        <v>514</v>
      </c>
      <c r="D411" s="10" t="s">
        <v>561</v>
      </c>
      <c r="E411" s="10" t="s">
        <v>562</v>
      </c>
      <c r="F411" s="10">
        <v>36.562035999999999</v>
      </c>
      <c r="G411" s="10">
        <v>42.576569999999997</v>
      </c>
      <c r="H411" s="10" t="s">
        <v>443</v>
      </c>
      <c r="I411" s="10" t="s">
        <v>516</v>
      </c>
      <c r="J411" s="10" t="s">
        <v>563</v>
      </c>
      <c r="K411" s="11">
        <v>650</v>
      </c>
      <c r="L411" s="11">
        <v>3900</v>
      </c>
      <c r="M411" s="11"/>
      <c r="N411" s="11"/>
      <c r="O411" s="11"/>
      <c r="P411" s="11"/>
      <c r="Q411" s="11">
        <v>650</v>
      </c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>
        <v>650</v>
      </c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>
        <v>650</v>
      </c>
      <c r="AS411" s="11"/>
      <c r="AT411" s="11"/>
      <c r="AU411" s="11"/>
      <c r="AV411" s="11"/>
      <c r="AW411" s="20" t="str">
        <f>HYPERLINK("http://www.openstreetmap.org/?mlat=36.562&amp;mlon=42.5766&amp;zoom=12#map=12/36.562/42.5766","Maplink1")</f>
        <v>Maplink1</v>
      </c>
      <c r="AX411" s="20" t="str">
        <f>HYPERLINK("https://www.google.iq/maps/search/+36.562,42.5766/@36.562,42.5766,14z?hl=en","Maplink2")</f>
        <v>Maplink2</v>
      </c>
      <c r="AY411" s="20" t="str">
        <f>HYPERLINK("http://www.bing.com/maps/?lvl=14&amp;sty=h&amp;cp=36.562~42.5766&amp;sp=point.36.562_42.5766","Maplink3")</f>
        <v>Maplink3</v>
      </c>
    </row>
    <row r="412" spans="1:51" x14ac:dyDescent="0.25">
      <c r="A412" s="9">
        <v>25693</v>
      </c>
      <c r="B412" s="10" t="s">
        <v>20</v>
      </c>
      <c r="C412" s="10" t="s">
        <v>514</v>
      </c>
      <c r="D412" s="10" t="s">
        <v>564</v>
      </c>
      <c r="E412" s="10" t="s">
        <v>565</v>
      </c>
      <c r="F412" s="10">
        <v>36.547308000000001</v>
      </c>
      <c r="G412" s="10">
        <v>42.477975000000001</v>
      </c>
      <c r="H412" s="10" t="s">
        <v>443</v>
      </c>
      <c r="I412" s="10" t="s">
        <v>516</v>
      </c>
      <c r="J412" s="10"/>
      <c r="K412" s="11">
        <v>46</v>
      </c>
      <c r="L412" s="11">
        <v>276</v>
      </c>
      <c r="M412" s="11"/>
      <c r="N412" s="11"/>
      <c r="O412" s="11"/>
      <c r="P412" s="11"/>
      <c r="Q412" s="11">
        <v>46</v>
      </c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>
        <v>46</v>
      </c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>
        <v>46</v>
      </c>
      <c r="AS412" s="11"/>
      <c r="AT412" s="11"/>
      <c r="AU412" s="11"/>
      <c r="AV412" s="11"/>
      <c r="AW412" s="20" t="str">
        <f>HYPERLINK("http://www.openstreetmap.org/?mlat=36.5473&amp;mlon=42.478&amp;zoom=12#map=12/36.5473/42.478","Maplink1")</f>
        <v>Maplink1</v>
      </c>
      <c r="AX412" s="20" t="str">
        <f>HYPERLINK("https://www.google.iq/maps/search/+36.5473,42.478/@36.5473,42.478,14z?hl=en","Maplink2")</f>
        <v>Maplink2</v>
      </c>
      <c r="AY412" s="20" t="str">
        <f>HYPERLINK("http://www.bing.com/maps/?lvl=14&amp;sty=h&amp;cp=36.5473~42.478&amp;sp=point.36.5473_42.478","Maplink3")</f>
        <v>Maplink3</v>
      </c>
    </row>
    <row r="413" spans="1:51" x14ac:dyDescent="0.25">
      <c r="A413" s="9">
        <v>25694</v>
      </c>
      <c r="B413" s="10" t="s">
        <v>20</v>
      </c>
      <c r="C413" s="10" t="s">
        <v>514</v>
      </c>
      <c r="D413" s="10" t="s">
        <v>566</v>
      </c>
      <c r="E413" s="10" t="s">
        <v>567</v>
      </c>
      <c r="F413" s="10">
        <v>36.548578999999997</v>
      </c>
      <c r="G413" s="10">
        <v>42.463979999999999</v>
      </c>
      <c r="H413" s="10" t="s">
        <v>443</v>
      </c>
      <c r="I413" s="10" t="s">
        <v>516</v>
      </c>
      <c r="J413" s="10"/>
      <c r="K413" s="11">
        <v>10</v>
      </c>
      <c r="L413" s="11">
        <v>60</v>
      </c>
      <c r="M413" s="11"/>
      <c r="N413" s="11"/>
      <c r="O413" s="11"/>
      <c r="P413" s="11"/>
      <c r="Q413" s="11">
        <v>10</v>
      </c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>
        <v>10</v>
      </c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>
        <v>10</v>
      </c>
      <c r="AS413" s="11"/>
      <c r="AT413" s="11"/>
      <c r="AU413" s="11"/>
      <c r="AV413" s="11"/>
      <c r="AW413" s="20" t="str">
        <f>HYPERLINK("http://www.openstreetmap.org/?mlat=36.5486&amp;mlon=42.464&amp;zoom=12#map=12/36.5486/42.464","Maplink1")</f>
        <v>Maplink1</v>
      </c>
      <c r="AX413" s="20" t="str">
        <f>HYPERLINK("https://www.google.iq/maps/search/+36.5486,42.464/@36.5486,42.464,14z?hl=en","Maplink2")</f>
        <v>Maplink2</v>
      </c>
      <c r="AY413" s="20" t="str">
        <f>HYPERLINK("http://www.bing.com/maps/?lvl=14&amp;sty=h&amp;cp=36.5486~42.464&amp;sp=point.36.5486_42.464","Maplink3")</f>
        <v>Maplink3</v>
      </c>
    </row>
    <row r="414" spans="1:51" x14ac:dyDescent="0.25">
      <c r="A414" s="9">
        <v>17669</v>
      </c>
      <c r="B414" s="10" t="s">
        <v>20</v>
      </c>
      <c r="C414" s="10" t="s">
        <v>514</v>
      </c>
      <c r="D414" s="10" t="s">
        <v>910</v>
      </c>
      <c r="E414" s="10" t="s">
        <v>911</v>
      </c>
      <c r="F414" s="10">
        <v>36.902262</v>
      </c>
      <c r="G414" s="10">
        <v>42.395274000000001</v>
      </c>
      <c r="H414" s="10" t="s">
        <v>443</v>
      </c>
      <c r="I414" s="10" t="s">
        <v>516</v>
      </c>
      <c r="J414" s="10" t="s">
        <v>912</v>
      </c>
      <c r="K414" s="11">
        <v>65</v>
      </c>
      <c r="L414" s="11">
        <v>390</v>
      </c>
      <c r="M414" s="11"/>
      <c r="N414" s="11"/>
      <c r="O414" s="11"/>
      <c r="P414" s="11"/>
      <c r="Q414" s="11">
        <v>65</v>
      </c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>
        <v>65</v>
      </c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>
        <v>65</v>
      </c>
      <c r="AS414" s="11"/>
      <c r="AT414" s="11"/>
      <c r="AU414" s="11"/>
      <c r="AV414" s="11"/>
      <c r="AW414" s="20" t="str">
        <f>HYPERLINK("http://www.openstreetmap.org/?mlat=36.9023&amp;mlon=42.3953&amp;zoom=12#map=12/36.9023/42.3953","Maplink1")</f>
        <v>Maplink1</v>
      </c>
      <c r="AX414" s="20" t="str">
        <f>HYPERLINK("https://www.google.iq/maps/search/+36.9023,42.3953/@36.9023,42.3953,14z?hl=en","Maplink2")</f>
        <v>Maplink2</v>
      </c>
      <c r="AY414" s="20" t="str">
        <f>HYPERLINK("http://www.bing.com/maps/?lvl=14&amp;sty=h&amp;cp=36.9023~42.3953&amp;sp=point.36.9023_42.3953","Maplink3")</f>
        <v>Maplink3</v>
      </c>
    </row>
    <row r="415" spans="1:51" x14ac:dyDescent="0.25">
      <c r="A415" s="9">
        <v>28451</v>
      </c>
      <c r="B415" s="10" t="s">
        <v>20</v>
      </c>
      <c r="C415" s="10" t="s">
        <v>514</v>
      </c>
      <c r="D415" s="10" t="s">
        <v>1165</v>
      </c>
      <c r="E415" s="10" t="s">
        <v>520</v>
      </c>
      <c r="F415" s="10">
        <v>36.729982</v>
      </c>
      <c r="G415" s="10">
        <v>42.389882</v>
      </c>
      <c r="H415" s="10" t="s">
        <v>443</v>
      </c>
      <c r="I415" s="10" t="s">
        <v>516</v>
      </c>
      <c r="J415" s="10"/>
      <c r="K415" s="11">
        <v>405</v>
      </c>
      <c r="L415" s="11">
        <v>2430</v>
      </c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>
        <v>405</v>
      </c>
      <c r="Z415" s="11"/>
      <c r="AA415" s="11"/>
      <c r="AB415" s="11"/>
      <c r="AC415" s="11"/>
      <c r="AD415" s="11"/>
      <c r="AE415" s="11"/>
      <c r="AF415" s="11">
        <v>405</v>
      </c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>
        <v>405</v>
      </c>
      <c r="AS415" s="11"/>
      <c r="AT415" s="11"/>
      <c r="AU415" s="11"/>
      <c r="AV415" s="11"/>
      <c r="AW415" s="20" t="str">
        <f>HYPERLINK("http://www.openstreetmap.org/?mlat=36.73&amp;mlon=42.3899&amp;zoom=12#map=12/36.73/42.3899","Maplink1")</f>
        <v>Maplink1</v>
      </c>
      <c r="AX415" s="20" t="str">
        <f>HYPERLINK("https://www.google.iq/maps/search/+36.73,42.3899/@36.73,42.3899,14z?hl=en","Maplink2")</f>
        <v>Maplink2</v>
      </c>
      <c r="AY415" s="20" t="str">
        <f>HYPERLINK("http://www.bing.com/maps/?lvl=14&amp;sty=h&amp;cp=36.73~42.3899&amp;sp=point.36.73_42.3899","Maplink3")</f>
        <v>Maplink3</v>
      </c>
    </row>
    <row r="416" spans="1:51" x14ac:dyDescent="0.25">
      <c r="A416" s="9">
        <v>17665</v>
      </c>
      <c r="B416" s="10" t="s">
        <v>20</v>
      </c>
      <c r="C416" s="10" t="s">
        <v>514</v>
      </c>
      <c r="D416" s="10" t="s">
        <v>913</v>
      </c>
      <c r="E416" s="10" t="s">
        <v>914</v>
      </c>
      <c r="F416" s="10">
        <v>36.844475000000003</v>
      </c>
      <c r="G416" s="10">
        <v>42.35772</v>
      </c>
      <c r="H416" s="10" t="s">
        <v>443</v>
      </c>
      <c r="I416" s="10" t="s">
        <v>516</v>
      </c>
      <c r="J416" s="10" t="s">
        <v>915</v>
      </c>
      <c r="K416" s="11">
        <v>86</v>
      </c>
      <c r="L416" s="11">
        <v>516</v>
      </c>
      <c r="M416" s="11"/>
      <c r="N416" s="11"/>
      <c r="O416" s="11"/>
      <c r="P416" s="11"/>
      <c r="Q416" s="11">
        <v>86</v>
      </c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>
        <v>86</v>
      </c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>
        <v>86</v>
      </c>
      <c r="AS416" s="11"/>
      <c r="AT416" s="11"/>
      <c r="AU416" s="11"/>
      <c r="AV416" s="11"/>
      <c r="AW416" s="20" t="str">
        <f>HYPERLINK("http://www.openstreetmap.org/?mlat=36.8445&amp;mlon=42.3577&amp;zoom=12#map=12/36.8445/42.3577","Maplink1")</f>
        <v>Maplink1</v>
      </c>
      <c r="AX416" s="20" t="str">
        <f>HYPERLINK("https://www.google.iq/maps/search/+36.8445,42.3577/@36.8445,42.3577,14z?hl=en","Maplink2")</f>
        <v>Maplink2</v>
      </c>
      <c r="AY416" s="20" t="str">
        <f>HYPERLINK("http://www.bing.com/maps/?lvl=14&amp;sty=h&amp;cp=36.8445~42.3577&amp;sp=point.36.8445_42.3577","Maplink3")</f>
        <v>Maplink3</v>
      </c>
    </row>
    <row r="417" spans="1:51" x14ac:dyDescent="0.25">
      <c r="A417" s="9">
        <v>25695</v>
      </c>
      <c r="B417" s="10" t="s">
        <v>20</v>
      </c>
      <c r="C417" s="10" t="s">
        <v>514</v>
      </c>
      <c r="D417" s="10" t="s">
        <v>1166</v>
      </c>
      <c r="E417" s="10" t="s">
        <v>568</v>
      </c>
      <c r="F417" s="10">
        <v>36.903126999999998</v>
      </c>
      <c r="G417" s="10">
        <v>42.393847999999998</v>
      </c>
      <c r="H417" s="10" t="s">
        <v>443</v>
      </c>
      <c r="I417" s="10" t="s">
        <v>516</v>
      </c>
      <c r="J417" s="10"/>
      <c r="K417" s="11">
        <v>700</v>
      </c>
      <c r="L417" s="11">
        <v>4200</v>
      </c>
      <c r="M417" s="11"/>
      <c r="N417" s="11"/>
      <c r="O417" s="11"/>
      <c r="P417" s="11"/>
      <c r="Q417" s="11">
        <v>700</v>
      </c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>
        <v>648</v>
      </c>
      <c r="AG417" s="11">
        <v>52</v>
      </c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>
        <v>700</v>
      </c>
      <c r="AS417" s="11"/>
      <c r="AT417" s="11"/>
      <c r="AU417" s="11"/>
      <c r="AV417" s="11"/>
      <c r="AW417" s="20" t="str">
        <f>HYPERLINK("http://www.openstreetmap.org/?mlat=36.9031&amp;mlon=42.3938&amp;zoom=12#map=12/36.9031/42.3938","Maplink1")</f>
        <v>Maplink1</v>
      </c>
      <c r="AX417" s="20" t="str">
        <f>HYPERLINK("https://www.google.iq/maps/search/+36.9031,42.3938/@36.9031,42.3938,14z?hl=en","Maplink2")</f>
        <v>Maplink2</v>
      </c>
      <c r="AY417" s="20" t="str">
        <f>HYPERLINK("http://www.bing.com/maps/?lvl=14&amp;sty=h&amp;cp=36.9031~42.3938&amp;sp=point.36.9031_42.3938","Maplink3")</f>
        <v>Maplink3</v>
      </c>
    </row>
    <row r="418" spans="1:51" x14ac:dyDescent="0.25">
      <c r="A418" s="9">
        <v>17663</v>
      </c>
      <c r="B418" s="10" t="s">
        <v>20</v>
      </c>
      <c r="C418" s="10" t="s">
        <v>514</v>
      </c>
      <c r="D418" s="10" t="s">
        <v>571</v>
      </c>
      <c r="E418" s="10" t="s">
        <v>572</v>
      </c>
      <c r="F418" s="10">
        <v>36.813583000000001</v>
      </c>
      <c r="G418" s="10">
        <v>42.264406000000001</v>
      </c>
      <c r="H418" s="10" t="s">
        <v>443</v>
      </c>
      <c r="I418" s="10" t="s">
        <v>516</v>
      </c>
      <c r="J418" s="10" t="s">
        <v>573</v>
      </c>
      <c r="K418" s="11">
        <v>67</v>
      </c>
      <c r="L418" s="11">
        <v>402</v>
      </c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>
        <v>67</v>
      </c>
      <c r="Z418" s="11"/>
      <c r="AA418" s="11"/>
      <c r="AB418" s="11"/>
      <c r="AC418" s="11"/>
      <c r="AD418" s="11"/>
      <c r="AE418" s="11"/>
      <c r="AF418" s="11">
        <v>67</v>
      </c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>
        <v>64</v>
      </c>
      <c r="AS418" s="11"/>
      <c r="AT418" s="11"/>
      <c r="AU418" s="11">
        <v>3</v>
      </c>
      <c r="AV418" s="11"/>
      <c r="AW418" s="20" t="str">
        <f>HYPERLINK("http://www.openstreetmap.org/?mlat=36.8136&amp;mlon=42.2644&amp;zoom=12#map=12/36.8136/42.2644","Maplink1")</f>
        <v>Maplink1</v>
      </c>
      <c r="AX418" s="20" t="str">
        <f>HYPERLINK("https://www.google.iq/maps/search/+36.8136,42.2644/@36.8136,42.2644,14z?hl=en","Maplink2")</f>
        <v>Maplink2</v>
      </c>
      <c r="AY418" s="20" t="str">
        <f>HYPERLINK("http://www.bing.com/maps/?lvl=14&amp;sty=h&amp;cp=36.8136~42.2644&amp;sp=point.36.8136_42.2644","Maplink3")</f>
        <v>Maplink3</v>
      </c>
    </row>
    <row r="419" spans="1:51" x14ac:dyDescent="0.25">
      <c r="A419" s="9">
        <v>25893</v>
      </c>
      <c r="B419" s="10" t="s">
        <v>20</v>
      </c>
      <c r="C419" s="10" t="s">
        <v>514</v>
      </c>
      <c r="D419" s="10" t="s">
        <v>1167</v>
      </c>
      <c r="E419" s="10" t="s">
        <v>574</v>
      </c>
      <c r="F419" s="10">
        <v>36.763781999999999</v>
      </c>
      <c r="G419" s="10">
        <v>42.064528000000003</v>
      </c>
      <c r="H419" s="10" t="s">
        <v>443</v>
      </c>
      <c r="I419" s="10" t="s">
        <v>516</v>
      </c>
      <c r="J419" s="10"/>
      <c r="K419" s="11">
        <v>345</v>
      </c>
      <c r="L419" s="11">
        <v>2070</v>
      </c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>
        <v>345</v>
      </c>
      <c r="Z419" s="11"/>
      <c r="AA419" s="11"/>
      <c r="AB419" s="11"/>
      <c r="AC419" s="11"/>
      <c r="AD419" s="11"/>
      <c r="AE419" s="11"/>
      <c r="AF419" s="11">
        <v>345</v>
      </c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>
        <v>345</v>
      </c>
      <c r="AS419" s="11"/>
      <c r="AT419" s="11"/>
      <c r="AU419" s="11"/>
      <c r="AV419" s="11"/>
      <c r="AW419" s="20" t="str">
        <f>HYPERLINK("http://www.openstreetmap.org/?mlat=36.7638&amp;mlon=42.0645&amp;zoom=12#map=12/36.7638/42.0645","Maplink1")</f>
        <v>Maplink1</v>
      </c>
      <c r="AX419" s="20" t="str">
        <f>HYPERLINK("https://www.google.iq/maps/search/+36.7638,42.0645/@36.7638,42.0645,14z?hl=en","Maplink2")</f>
        <v>Maplink2</v>
      </c>
      <c r="AY419" s="20" t="str">
        <f>HYPERLINK("http://www.bing.com/maps/?lvl=14&amp;sty=h&amp;cp=36.7638~42.0645&amp;sp=point.36.7638_42.0645","Maplink3")</f>
        <v>Maplink3</v>
      </c>
    </row>
    <row r="420" spans="1:51" x14ac:dyDescent="0.25">
      <c r="A420" s="9">
        <v>27352</v>
      </c>
      <c r="B420" s="10" t="s">
        <v>20</v>
      </c>
      <c r="C420" s="10" t="s">
        <v>514</v>
      </c>
      <c r="D420" s="10" t="s">
        <v>575</v>
      </c>
      <c r="E420" s="10" t="s">
        <v>576</v>
      </c>
      <c r="F420" s="10">
        <v>36.933185999999999</v>
      </c>
      <c r="G420" s="10">
        <v>42.358674000000001</v>
      </c>
      <c r="H420" s="10" t="s">
        <v>443</v>
      </c>
      <c r="I420" s="10" t="s">
        <v>516</v>
      </c>
      <c r="J420" s="10"/>
      <c r="K420" s="11">
        <v>100</v>
      </c>
      <c r="L420" s="11">
        <v>600</v>
      </c>
      <c r="M420" s="11"/>
      <c r="N420" s="11"/>
      <c r="O420" s="11"/>
      <c r="P420" s="11"/>
      <c r="Q420" s="11">
        <v>100</v>
      </c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>
        <v>100</v>
      </c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>
        <v>100</v>
      </c>
      <c r="AS420" s="11"/>
      <c r="AT420" s="11"/>
      <c r="AU420" s="11"/>
      <c r="AV420" s="11"/>
      <c r="AW420" s="20" t="str">
        <f>HYPERLINK("http://www.openstreetmap.org/?mlat=36.9332&amp;mlon=42.3587&amp;zoom=12#map=12/36.9332/42.3587","Maplink1")</f>
        <v>Maplink1</v>
      </c>
      <c r="AX420" s="20" t="str">
        <f>HYPERLINK("https://www.google.iq/maps/search/+36.9332,42.3587/@36.9332,42.3587,14z?hl=en","Maplink2")</f>
        <v>Maplink2</v>
      </c>
      <c r="AY420" s="20" t="str">
        <f>HYPERLINK("http://www.bing.com/maps/?lvl=14&amp;sty=h&amp;cp=36.9332~42.3587&amp;sp=point.36.9332_42.3587","Maplink3")</f>
        <v>Maplink3</v>
      </c>
    </row>
    <row r="421" spans="1:51" x14ac:dyDescent="0.25">
      <c r="A421" s="9">
        <v>22799</v>
      </c>
      <c r="B421" s="10" t="s">
        <v>20</v>
      </c>
      <c r="C421" s="10" t="s">
        <v>514</v>
      </c>
      <c r="D421" s="10" t="s">
        <v>798</v>
      </c>
      <c r="E421" s="10" t="s">
        <v>587</v>
      </c>
      <c r="F421" s="10">
        <v>36.591318999999999</v>
      </c>
      <c r="G421" s="10">
        <v>42.523685999999998</v>
      </c>
      <c r="H421" s="10" t="s">
        <v>443</v>
      </c>
      <c r="I421" s="10" t="s">
        <v>516</v>
      </c>
      <c r="J421" s="10" t="s">
        <v>588</v>
      </c>
      <c r="K421" s="11">
        <v>200</v>
      </c>
      <c r="L421" s="11">
        <v>1200</v>
      </c>
      <c r="M421" s="11"/>
      <c r="N421" s="11"/>
      <c r="O421" s="11"/>
      <c r="P421" s="11"/>
      <c r="Q421" s="11">
        <v>200</v>
      </c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>
        <v>200</v>
      </c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>
        <v>200</v>
      </c>
      <c r="AS421" s="11"/>
      <c r="AT421" s="11"/>
      <c r="AU421" s="11"/>
      <c r="AV421" s="11"/>
      <c r="AW421" s="20" t="str">
        <f>HYPERLINK("http://www.openstreetmap.org/?mlat=36.5913&amp;mlon=42.5237&amp;zoom=12#map=12/36.5913/42.5237","Maplink1")</f>
        <v>Maplink1</v>
      </c>
      <c r="AX421" s="20" t="str">
        <f>HYPERLINK("https://www.google.iq/maps/search/+36.5913,42.5237/@36.5913,42.5237,14z?hl=en","Maplink2")</f>
        <v>Maplink2</v>
      </c>
      <c r="AY421" s="20" t="str">
        <f>HYPERLINK("http://www.bing.com/maps/?lvl=14&amp;sty=h&amp;cp=36.5913~42.5237&amp;sp=point.36.5913_42.5237","Maplink3")</f>
        <v>Maplink3</v>
      </c>
    </row>
    <row r="422" spans="1:51" x14ac:dyDescent="0.25">
      <c r="A422" s="9">
        <v>25704</v>
      </c>
      <c r="B422" s="10" t="s">
        <v>20</v>
      </c>
      <c r="C422" s="10" t="s">
        <v>514</v>
      </c>
      <c r="D422" s="10" t="s">
        <v>799</v>
      </c>
      <c r="E422" s="10" t="s">
        <v>589</v>
      </c>
      <c r="F422" s="10">
        <v>36.592678999999997</v>
      </c>
      <c r="G422" s="10">
        <v>42.614227999999997</v>
      </c>
      <c r="H422" s="10" t="s">
        <v>443</v>
      </c>
      <c r="I422" s="10" t="s">
        <v>516</v>
      </c>
      <c r="J422" s="10"/>
      <c r="K422" s="11">
        <v>187</v>
      </c>
      <c r="L422" s="11">
        <v>1122</v>
      </c>
      <c r="M422" s="11"/>
      <c r="N422" s="11"/>
      <c r="O422" s="11"/>
      <c r="P422" s="11"/>
      <c r="Q422" s="11">
        <v>187</v>
      </c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>
        <v>170</v>
      </c>
      <c r="AG422" s="11">
        <v>17</v>
      </c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>
        <v>187</v>
      </c>
      <c r="AS422" s="11"/>
      <c r="AT422" s="11"/>
      <c r="AU422" s="11"/>
      <c r="AV422" s="11"/>
      <c r="AW422" s="20" t="str">
        <f>HYPERLINK("http://www.openstreetmap.org/?mlat=36.5927&amp;mlon=42.6142&amp;zoom=12#map=12/36.5927/42.6142","Maplink1")</f>
        <v>Maplink1</v>
      </c>
      <c r="AX422" s="20" t="str">
        <f>HYPERLINK("https://www.google.iq/maps/search/+36.5927,42.6142/@36.5927,42.6142,14z?hl=en","Maplink2")</f>
        <v>Maplink2</v>
      </c>
      <c r="AY422" s="20" t="str">
        <f>HYPERLINK("http://www.bing.com/maps/?lvl=14&amp;sty=h&amp;cp=36.5927~42.6142&amp;sp=point.36.5927_42.6142","Maplink3")</f>
        <v>Maplink3</v>
      </c>
    </row>
    <row r="423" spans="1:51" x14ac:dyDescent="0.25">
      <c r="A423" s="9">
        <v>25944</v>
      </c>
      <c r="B423" s="10" t="s">
        <v>20</v>
      </c>
      <c r="C423" s="10" t="s">
        <v>514</v>
      </c>
      <c r="D423" s="10" t="s">
        <v>1168</v>
      </c>
      <c r="E423" s="10" t="s">
        <v>1169</v>
      </c>
      <c r="F423" s="10">
        <v>36.656371999999998</v>
      </c>
      <c r="G423" s="10">
        <v>42.601913000000003</v>
      </c>
      <c r="H423" s="10" t="s">
        <v>443</v>
      </c>
      <c r="I423" s="10" t="s">
        <v>516</v>
      </c>
      <c r="J423" s="10"/>
      <c r="K423" s="11">
        <v>1000</v>
      </c>
      <c r="L423" s="11">
        <v>6000</v>
      </c>
      <c r="M423" s="11"/>
      <c r="N423" s="11"/>
      <c r="O423" s="11"/>
      <c r="P423" s="11"/>
      <c r="Q423" s="11">
        <v>950</v>
      </c>
      <c r="R423" s="11"/>
      <c r="S423" s="11"/>
      <c r="T423" s="11"/>
      <c r="U423" s="11"/>
      <c r="V423" s="11"/>
      <c r="W423" s="11"/>
      <c r="X423" s="11"/>
      <c r="Y423" s="11">
        <v>50</v>
      </c>
      <c r="Z423" s="11"/>
      <c r="AA423" s="11"/>
      <c r="AB423" s="11"/>
      <c r="AC423" s="11"/>
      <c r="AD423" s="11"/>
      <c r="AE423" s="11"/>
      <c r="AF423" s="11">
        <v>550</v>
      </c>
      <c r="AG423" s="11">
        <v>350</v>
      </c>
      <c r="AH423" s="11"/>
      <c r="AI423" s="11"/>
      <c r="AJ423" s="11"/>
      <c r="AK423" s="11"/>
      <c r="AL423" s="11">
        <v>50</v>
      </c>
      <c r="AM423" s="11"/>
      <c r="AN423" s="11">
        <v>50</v>
      </c>
      <c r="AO423" s="11"/>
      <c r="AP423" s="11"/>
      <c r="AQ423" s="11"/>
      <c r="AR423" s="11">
        <v>1000</v>
      </c>
      <c r="AS423" s="11"/>
      <c r="AT423" s="11"/>
      <c r="AU423" s="11"/>
      <c r="AV423" s="11"/>
      <c r="AW423" s="20" t="str">
        <f>HYPERLINK("http://www.openstreetmap.org/?mlat=36.6564&amp;mlon=42.6019&amp;zoom=12#map=12/36.6564/42.6019","Maplink1")</f>
        <v>Maplink1</v>
      </c>
      <c r="AX423" s="20" t="str">
        <f>HYPERLINK("https://www.google.iq/maps/search/+36.6564,42.6019/@36.6564,42.6019,14z?hl=en","Maplink2")</f>
        <v>Maplink2</v>
      </c>
      <c r="AY423" s="20" t="str">
        <f>HYPERLINK("http://www.bing.com/maps/?lvl=14&amp;sty=h&amp;cp=36.6564~42.6019&amp;sp=point.36.6564_42.6019","Maplink3")</f>
        <v>Maplink3</v>
      </c>
    </row>
    <row r="424" spans="1:51" x14ac:dyDescent="0.25">
      <c r="A424" s="9">
        <v>17617</v>
      </c>
      <c r="B424" s="10" t="s">
        <v>20</v>
      </c>
      <c r="C424" s="10" t="s">
        <v>514</v>
      </c>
      <c r="D424" s="10" t="s">
        <v>800</v>
      </c>
      <c r="E424" s="10" t="s">
        <v>577</v>
      </c>
      <c r="F424" s="10">
        <v>36.549999999999997</v>
      </c>
      <c r="G424" s="10">
        <v>42.5</v>
      </c>
      <c r="H424" s="10" t="s">
        <v>443</v>
      </c>
      <c r="I424" s="10" t="s">
        <v>516</v>
      </c>
      <c r="J424" s="10" t="s">
        <v>578</v>
      </c>
      <c r="K424" s="11">
        <v>650</v>
      </c>
      <c r="L424" s="11">
        <v>3900</v>
      </c>
      <c r="M424" s="11"/>
      <c r="N424" s="11"/>
      <c r="O424" s="11"/>
      <c r="P424" s="11"/>
      <c r="Q424" s="11">
        <v>650</v>
      </c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>
        <v>650</v>
      </c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>
        <v>650</v>
      </c>
      <c r="AS424" s="11"/>
      <c r="AT424" s="11"/>
      <c r="AU424" s="11"/>
      <c r="AV424" s="11"/>
      <c r="AW424" s="20" t="str">
        <f>HYPERLINK("http://www.openstreetmap.org/?mlat=36.55&amp;mlon=42.5&amp;zoom=12#map=12/36.55/42.5","Maplink1")</f>
        <v>Maplink1</v>
      </c>
      <c r="AX424" s="20" t="str">
        <f>HYPERLINK("https://www.google.iq/maps/search/+36.55,42.5/@36.55,42.5,14z?hl=en","Maplink2")</f>
        <v>Maplink2</v>
      </c>
      <c r="AY424" s="20" t="str">
        <f>HYPERLINK("http://www.bing.com/maps/?lvl=14&amp;sty=h&amp;cp=36.55~42.5&amp;sp=point.36.55_42.5","Maplink3")</f>
        <v>Maplink3</v>
      </c>
    </row>
    <row r="425" spans="1:51" x14ac:dyDescent="0.25">
      <c r="A425" s="9">
        <v>25689</v>
      </c>
      <c r="B425" s="10" t="s">
        <v>20</v>
      </c>
      <c r="C425" s="10" t="s">
        <v>514</v>
      </c>
      <c r="D425" s="10" t="s">
        <v>755</v>
      </c>
      <c r="E425" s="10" t="s">
        <v>579</v>
      </c>
      <c r="F425" s="10">
        <v>36.816029</v>
      </c>
      <c r="G425" s="10">
        <v>42.421132999999998</v>
      </c>
      <c r="H425" s="10" t="s">
        <v>443</v>
      </c>
      <c r="I425" s="10" t="s">
        <v>516</v>
      </c>
      <c r="J425" s="10"/>
      <c r="K425" s="11">
        <v>50</v>
      </c>
      <c r="L425" s="11">
        <v>300</v>
      </c>
      <c r="M425" s="11"/>
      <c r="N425" s="11"/>
      <c r="O425" s="11"/>
      <c r="P425" s="11"/>
      <c r="Q425" s="11">
        <v>42</v>
      </c>
      <c r="R425" s="11"/>
      <c r="S425" s="11"/>
      <c r="T425" s="11"/>
      <c r="U425" s="11"/>
      <c r="V425" s="11"/>
      <c r="W425" s="11"/>
      <c r="X425" s="11"/>
      <c r="Y425" s="11">
        <v>8</v>
      </c>
      <c r="Z425" s="11"/>
      <c r="AA425" s="11"/>
      <c r="AB425" s="11"/>
      <c r="AC425" s="11"/>
      <c r="AD425" s="11"/>
      <c r="AE425" s="11"/>
      <c r="AF425" s="11">
        <v>50</v>
      </c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>
        <v>50</v>
      </c>
      <c r="AS425" s="11"/>
      <c r="AT425" s="11"/>
      <c r="AU425" s="11"/>
      <c r="AV425" s="11"/>
      <c r="AW425" s="20" t="str">
        <f>HYPERLINK("http://www.openstreetmap.org/?mlat=36.816&amp;mlon=42.4211&amp;zoom=12#map=12/36.816/42.4211","Maplink1")</f>
        <v>Maplink1</v>
      </c>
      <c r="AX425" s="20" t="str">
        <f>HYPERLINK("https://www.google.iq/maps/search/+36.816,42.4211/@36.816,42.4211,14z?hl=en","Maplink2")</f>
        <v>Maplink2</v>
      </c>
      <c r="AY425" s="20" t="str">
        <f>HYPERLINK("http://www.bing.com/maps/?lvl=14&amp;sty=h&amp;cp=36.816~42.4211&amp;sp=point.36.816_42.4211","Maplink3")</f>
        <v>Maplink3</v>
      </c>
    </row>
    <row r="426" spans="1:51" x14ac:dyDescent="0.25">
      <c r="A426" s="9">
        <v>23648</v>
      </c>
      <c r="B426" s="10" t="s">
        <v>20</v>
      </c>
      <c r="C426" s="10" t="s">
        <v>514</v>
      </c>
      <c r="D426" s="10" t="s">
        <v>580</v>
      </c>
      <c r="E426" s="10" t="s">
        <v>581</v>
      </c>
      <c r="F426" s="10">
        <v>37.040596999999998</v>
      </c>
      <c r="G426" s="10">
        <v>42.372691000000003</v>
      </c>
      <c r="H426" s="10" t="s">
        <v>443</v>
      </c>
      <c r="I426" s="10" t="s">
        <v>516</v>
      </c>
      <c r="J426" s="10" t="s">
        <v>582</v>
      </c>
      <c r="K426" s="11">
        <v>200</v>
      </c>
      <c r="L426" s="11">
        <v>1200</v>
      </c>
      <c r="M426" s="11"/>
      <c r="N426" s="11"/>
      <c r="O426" s="11"/>
      <c r="P426" s="11"/>
      <c r="Q426" s="11">
        <v>200</v>
      </c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>
        <v>200</v>
      </c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>
        <v>200</v>
      </c>
      <c r="AS426" s="11"/>
      <c r="AT426" s="11"/>
      <c r="AU426" s="11"/>
      <c r="AV426" s="11"/>
      <c r="AW426" s="20" t="str">
        <f>HYPERLINK("http://www.openstreetmap.org/?mlat=37.0406&amp;mlon=42.3727&amp;zoom=12#map=12/37.0406/42.3727","Maplink1")</f>
        <v>Maplink1</v>
      </c>
      <c r="AX426" s="20" t="str">
        <f>HYPERLINK("https://www.google.iq/maps/search/+37.0406,42.3727/@37.0406,42.3727,14z?hl=en","Maplink2")</f>
        <v>Maplink2</v>
      </c>
      <c r="AY426" s="20" t="str">
        <f>HYPERLINK("http://www.bing.com/maps/?lvl=14&amp;sty=h&amp;cp=37.0406~42.3727&amp;sp=point.37.0406_42.3727","Maplink3")</f>
        <v>Maplink3</v>
      </c>
    </row>
    <row r="427" spans="1:51" x14ac:dyDescent="0.25">
      <c r="A427" s="9">
        <v>28452</v>
      </c>
      <c r="B427" s="10" t="s">
        <v>20</v>
      </c>
      <c r="C427" s="10" t="s">
        <v>514</v>
      </c>
      <c r="D427" s="10" t="s">
        <v>1170</v>
      </c>
      <c r="E427" s="10" t="s">
        <v>521</v>
      </c>
      <c r="F427" s="10">
        <v>36.608437000000002</v>
      </c>
      <c r="G427" s="10">
        <v>41.977395999999999</v>
      </c>
      <c r="H427" s="10" t="s">
        <v>443</v>
      </c>
      <c r="I427" s="10" t="s">
        <v>516</v>
      </c>
      <c r="J427" s="10"/>
      <c r="K427" s="11">
        <v>31</v>
      </c>
      <c r="L427" s="11">
        <v>186</v>
      </c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>
        <v>31</v>
      </c>
      <c r="Z427" s="11"/>
      <c r="AA427" s="11"/>
      <c r="AB427" s="11"/>
      <c r="AC427" s="11"/>
      <c r="AD427" s="11"/>
      <c r="AE427" s="11"/>
      <c r="AF427" s="11">
        <v>31</v>
      </c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>
        <v>31</v>
      </c>
      <c r="AS427" s="11"/>
      <c r="AT427" s="11"/>
      <c r="AU427" s="11"/>
      <c r="AV427" s="11"/>
      <c r="AW427" s="20" t="str">
        <f>HYPERLINK("http://www.openstreetmap.org/?mlat=36.6084&amp;mlon=41.9774&amp;zoom=12#map=12/36.6084/41.9774","Maplink1")</f>
        <v>Maplink1</v>
      </c>
      <c r="AX427" s="20" t="str">
        <f>HYPERLINK("https://www.google.iq/maps/search/+36.6084,41.9774/@36.6084,41.9774,14z?hl=en","Maplink2")</f>
        <v>Maplink2</v>
      </c>
      <c r="AY427" s="20" t="str">
        <f>HYPERLINK("http://www.bing.com/maps/?lvl=14&amp;sty=h&amp;cp=36.6084~41.9774&amp;sp=point.36.6084_41.9774","Maplink3")</f>
        <v>Maplink3</v>
      </c>
    </row>
    <row r="428" spans="1:51" x14ac:dyDescent="0.25">
      <c r="A428" s="9">
        <v>17814</v>
      </c>
      <c r="B428" s="10" t="s">
        <v>20</v>
      </c>
      <c r="C428" s="10" t="s">
        <v>514</v>
      </c>
      <c r="D428" s="10" t="s">
        <v>583</v>
      </c>
      <c r="E428" s="10" t="s">
        <v>1171</v>
      </c>
      <c r="F428" s="10">
        <v>36.748497999999998</v>
      </c>
      <c r="G428" s="10">
        <v>42.305275999999999</v>
      </c>
      <c r="H428" s="10" t="s">
        <v>443</v>
      </c>
      <c r="I428" s="10" t="s">
        <v>516</v>
      </c>
      <c r="J428" s="10" t="s">
        <v>584</v>
      </c>
      <c r="K428" s="11">
        <v>470</v>
      </c>
      <c r="L428" s="11">
        <v>2820</v>
      </c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>
        <v>470</v>
      </c>
      <c r="Z428" s="11"/>
      <c r="AA428" s="11"/>
      <c r="AB428" s="11"/>
      <c r="AC428" s="11"/>
      <c r="AD428" s="11"/>
      <c r="AE428" s="11"/>
      <c r="AF428" s="11">
        <v>470</v>
      </c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>
        <v>470</v>
      </c>
      <c r="AS428" s="11"/>
      <c r="AT428" s="11"/>
      <c r="AU428" s="11"/>
      <c r="AV428" s="11"/>
      <c r="AW428" s="20" t="str">
        <f>HYPERLINK("http://www.openstreetmap.org/?mlat=36.7485&amp;mlon=42.3053&amp;zoom=12#map=12/36.7485/42.3053","Maplink1")</f>
        <v>Maplink1</v>
      </c>
      <c r="AX428" s="20" t="str">
        <f>HYPERLINK("https://www.google.iq/maps/search/+36.7485,42.3053/@36.7485,42.3053,14z?hl=en","Maplink2")</f>
        <v>Maplink2</v>
      </c>
      <c r="AY428" s="20" t="str">
        <f>HYPERLINK("http://www.bing.com/maps/?lvl=14&amp;sty=h&amp;cp=36.7485~42.3053&amp;sp=point.36.7485_42.3053","Maplink3")</f>
        <v>Maplink3</v>
      </c>
    </row>
    <row r="429" spans="1:51" x14ac:dyDescent="0.25">
      <c r="A429" s="9">
        <v>28438</v>
      </c>
      <c r="B429" s="10" t="s">
        <v>20</v>
      </c>
      <c r="C429" s="10" t="s">
        <v>514</v>
      </c>
      <c r="D429" s="10" t="s">
        <v>967</v>
      </c>
      <c r="E429" s="10" t="s">
        <v>585</v>
      </c>
      <c r="F429" s="10">
        <v>36.793627000000001</v>
      </c>
      <c r="G429" s="10">
        <v>42.175499000000002</v>
      </c>
      <c r="H429" s="10" t="s">
        <v>443</v>
      </c>
      <c r="I429" s="10" t="s">
        <v>516</v>
      </c>
      <c r="J429" s="10"/>
      <c r="K429" s="11">
        <v>275</v>
      </c>
      <c r="L429" s="11">
        <v>1650</v>
      </c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>
        <v>275</v>
      </c>
      <c r="Z429" s="11"/>
      <c r="AA429" s="11"/>
      <c r="AB429" s="11"/>
      <c r="AC429" s="11"/>
      <c r="AD429" s="11"/>
      <c r="AE429" s="11"/>
      <c r="AF429" s="11">
        <v>275</v>
      </c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>
        <v>275</v>
      </c>
      <c r="AS429" s="11"/>
      <c r="AT429" s="11"/>
      <c r="AU429" s="11"/>
      <c r="AV429" s="11"/>
      <c r="AW429" s="20" t="str">
        <f>HYPERLINK("http://www.openstreetmap.org/?mlat=36.7936&amp;mlon=42.1755&amp;zoom=12#map=12/36.7936/42.1755","Maplink1")</f>
        <v>Maplink1</v>
      </c>
      <c r="AX429" s="20" t="str">
        <f>HYPERLINK("https://www.google.iq/maps/search/+36.7936,42.1755/@36.7936,42.1755,14z?hl=en","Maplink2")</f>
        <v>Maplink2</v>
      </c>
      <c r="AY429" s="20" t="str">
        <f>HYPERLINK("http://www.bing.com/maps/?lvl=14&amp;sty=h&amp;cp=36.7936~42.1755&amp;sp=point.36.7936_42.1755","Maplink3")</f>
        <v>Maplink3</v>
      </c>
    </row>
    <row r="430" spans="1:51" x14ac:dyDescent="0.25">
      <c r="A430" s="9">
        <v>17614</v>
      </c>
      <c r="B430" s="10" t="s">
        <v>20</v>
      </c>
      <c r="C430" s="10" t="s">
        <v>514</v>
      </c>
      <c r="D430" s="10" t="s">
        <v>756</v>
      </c>
      <c r="E430" s="10" t="s">
        <v>1172</v>
      </c>
      <c r="F430" s="10">
        <v>36.727243999999999</v>
      </c>
      <c r="G430" s="10">
        <v>42.257334</v>
      </c>
      <c r="H430" s="10" t="s">
        <v>443</v>
      </c>
      <c r="I430" s="10" t="s">
        <v>516</v>
      </c>
      <c r="J430" s="10" t="s">
        <v>586</v>
      </c>
      <c r="K430" s="11">
        <v>415</v>
      </c>
      <c r="L430" s="11">
        <v>2490</v>
      </c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>
        <v>415</v>
      </c>
      <c r="Z430" s="11"/>
      <c r="AA430" s="11"/>
      <c r="AB430" s="11"/>
      <c r="AC430" s="11"/>
      <c r="AD430" s="11"/>
      <c r="AE430" s="11"/>
      <c r="AF430" s="11">
        <v>415</v>
      </c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>
        <v>415</v>
      </c>
      <c r="AS430" s="11"/>
      <c r="AT430" s="11"/>
      <c r="AU430" s="11"/>
      <c r="AV430" s="11"/>
      <c r="AW430" s="20" t="str">
        <f>HYPERLINK("http://www.openstreetmap.org/?mlat=36.7272&amp;mlon=42.2573&amp;zoom=12#map=12/36.7272/42.2573","Maplink1")</f>
        <v>Maplink1</v>
      </c>
      <c r="AX430" s="20" t="str">
        <f>HYPERLINK("https://www.google.iq/maps/search/+36.7272,42.2573/@36.7272,42.2573,14z?hl=en","Maplink2")</f>
        <v>Maplink2</v>
      </c>
      <c r="AY430" s="20" t="str">
        <f>HYPERLINK("http://www.bing.com/maps/?lvl=14&amp;sty=h&amp;cp=36.7272~42.2573&amp;sp=point.36.7272_42.2573","Maplink3")</f>
        <v>Maplink3</v>
      </c>
    </row>
    <row r="431" spans="1:51" x14ac:dyDescent="0.25">
      <c r="A431" s="9">
        <v>17944</v>
      </c>
      <c r="B431" s="10" t="s">
        <v>20</v>
      </c>
      <c r="C431" s="10" t="s">
        <v>514</v>
      </c>
      <c r="D431" s="10" t="s">
        <v>801</v>
      </c>
      <c r="E431" s="10" t="s">
        <v>590</v>
      </c>
      <c r="F431" s="10">
        <v>36.619999999999997</v>
      </c>
      <c r="G431" s="10">
        <v>42.59</v>
      </c>
      <c r="H431" s="10" t="s">
        <v>443</v>
      </c>
      <c r="I431" s="10" t="s">
        <v>516</v>
      </c>
      <c r="J431" s="10" t="s">
        <v>591</v>
      </c>
      <c r="K431" s="11">
        <v>753</v>
      </c>
      <c r="L431" s="11">
        <v>4518</v>
      </c>
      <c r="M431" s="11"/>
      <c r="N431" s="11"/>
      <c r="O431" s="11"/>
      <c r="P431" s="11"/>
      <c r="Q431" s="11">
        <v>603</v>
      </c>
      <c r="R431" s="11"/>
      <c r="S431" s="11"/>
      <c r="T431" s="11"/>
      <c r="U431" s="11"/>
      <c r="V431" s="11"/>
      <c r="W431" s="11"/>
      <c r="X431" s="11"/>
      <c r="Y431" s="11">
        <v>150</v>
      </c>
      <c r="Z431" s="11"/>
      <c r="AA431" s="11"/>
      <c r="AB431" s="11"/>
      <c r="AC431" s="11"/>
      <c r="AD431" s="11"/>
      <c r="AE431" s="11"/>
      <c r="AF431" s="11">
        <v>753</v>
      </c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>
        <v>753</v>
      </c>
      <c r="AS431" s="11"/>
      <c r="AT431" s="11"/>
      <c r="AU431" s="11"/>
      <c r="AV431" s="11"/>
      <c r="AW431" s="20" t="str">
        <f>HYPERLINK("http://www.openstreetmap.org/?mlat=36.62&amp;mlon=42.59&amp;zoom=12#map=12/36.62/42.59","Maplink1")</f>
        <v>Maplink1</v>
      </c>
      <c r="AX431" s="20" t="str">
        <f>HYPERLINK("https://www.google.iq/maps/search/+36.62,42.59/@36.62,42.59,14z?hl=en","Maplink2")</f>
        <v>Maplink2</v>
      </c>
      <c r="AY431" s="20" t="str">
        <f>HYPERLINK("http://www.bing.com/maps/?lvl=14&amp;sty=h&amp;cp=36.62~42.59&amp;sp=point.36.62_42.59","Maplink3")</f>
        <v>Maplink3</v>
      </c>
    </row>
    <row r="432" spans="1:51" x14ac:dyDescent="0.25">
      <c r="A432" s="9">
        <v>28439</v>
      </c>
      <c r="B432" s="10" t="s">
        <v>20</v>
      </c>
      <c r="C432" s="10" t="s">
        <v>514</v>
      </c>
      <c r="D432" s="10" t="s">
        <v>968</v>
      </c>
      <c r="E432" s="10" t="s">
        <v>592</v>
      </c>
      <c r="F432" s="10">
        <v>36.744999999999997</v>
      </c>
      <c r="G432" s="10">
        <v>42.201110999999997</v>
      </c>
      <c r="H432" s="10" t="s">
        <v>443</v>
      </c>
      <c r="I432" s="10" t="s">
        <v>516</v>
      </c>
      <c r="J432" s="10"/>
      <c r="K432" s="11">
        <v>105</v>
      </c>
      <c r="L432" s="11">
        <v>630</v>
      </c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>
        <v>105</v>
      </c>
      <c r="Z432" s="11"/>
      <c r="AA432" s="11"/>
      <c r="AB432" s="11"/>
      <c r="AC432" s="11"/>
      <c r="AD432" s="11"/>
      <c r="AE432" s="11"/>
      <c r="AF432" s="11">
        <v>105</v>
      </c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>
        <v>105</v>
      </c>
      <c r="AS432" s="11"/>
      <c r="AT432" s="11"/>
      <c r="AU432" s="11"/>
      <c r="AV432" s="11"/>
      <c r="AW432" s="20" t="str">
        <f>HYPERLINK("http://www.openstreetmap.org/?mlat=36.745&amp;mlon=42.2011&amp;zoom=12#map=12/36.745/42.2011","Maplink1")</f>
        <v>Maplink1</v>
      </c>
      <c r="AX432" s="20" t="str">
        <f>HYPERLINK("https://www.google.iq/maps/search/+36.745,42.2011/@36.745,42.2011,14z?hl=en","Maplink2")</f>
        <v>Maplink2</v>
      </c>
      <c r="AY432" s="20" t="str">
        <f>HYPERLINK("http://www.bing.com/maps/?lvl=14&amp;sty=h&amp;cp=36.745~42.2011&amp;sp=point.36.745_42.2011","Maplink3")</f>
        <v>Maplink3</v>
      </c>
    </row>
    <row r="433" spans="1:51" x14ac:dyDescent="0.25">
      <c r="A433" s="9">
        <v>28444</v>
      </c>
      <c r="B433" s="10" t="s">
        <v>20</v>
      </c>
      <c r="C433" s="10" t="s">
        <v>514</v>
      </c>
      <c r="D433" s="10" t="s">
        <v>1173</v>
      </c>
      <c r="E433" s="10" t="s">
        <v>593</v>
      </c>
      <c r="F433" s="10">
        <v>36.717768999999997</v>
      </c>
      <c r="G433" s="10">
        <v>42.353532999999999</v>
      </c>
      <c r="H433" s="10" t="s">
        <v>443</v>
      </c>
      <c r="I433" s="10" t="s">
        <v>516</v>
      </c>
      <c r="J433" s="10"/>
      <c r="K433" s="11">
        <v>120</v>
      </c>
      <c r="L433" s="11">
        <v>720</v>
      </c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>
        <v>120</v>
      </c>
      <c r="Z433" s="11"/>
      <c r="AA433" s="11"/>
      <c r="AB433" s="11"/>
      <c r="AC433" s="11"/>
      <c r="AD433" s="11"/>
      <c r="AE433" s="11"/>
      <c r="AF433" s="11">
        <v>120</v>
      </c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>
        <v>120</v>
      </c>
      <c r="AS433" s="11"/>
      <c r="AT433" s="11"/>
      <c r="AU433" s="11"/>
      <c r="AV433" s="11"/>
      <c r="AW433" s="20" t="str">
        <f>HYPERLINK("http://www.openstreetmap.org/?mlat=36.7178&amp;mlon=42.3535&amp;zoom=12#map=12/36.7178/42.3535","Maplink1")</f>
        <v>Maplink1</v>
      </c>
      <c r="AX433" s="20" t="str">
        <f>HYPERLINK("https://www.google.iq/maps/search/+36.7178,42.3535/@36.7178,42.3535,14z?hl=en","Maplink2")</f>
        <v>Maplink2</v>
      </c>
      <c r="AY433" s="20" t="str">
        <f>HYPERLINK("http://www.bing.com/maps/?lvl=14&amp;sty=h&amp;cp=36.7178~42.3535&amp;sp=point.36.7178_42.3535","Maplink3")</f>
        <v>Maplink3</v>
      </c>
    </row>
    <row r="434" spans="1:51" x14ac:dyDescent="0.25">
      <c r="A434" s="9">
        <v>27356</v>
      </c>
      <c r="B434" s="10" t="s">
        <v>20</v>
      </c>
      <c r="C434" s="10" t="s">
        <v>514</v>
      </c>
      <c r="D434" s="10" t="s">
        <v>594</v>
      </c>
      <c r="E434" s="10" t="s">
        <v>904</v>
      </c>
      <c r="F434" s="10">
        <v>36.554656000000001</v>
      </c>
      <c r="G434" s="10">
        <v>42.099445000000003</v>
      </c>
      <c r="H434" s="10" t="s">
        <v>443</v>
      </c>
      <c r="I434" s="10" t="s">
        <v>516</v>
      </c>
      <c r="J434" s="10"/>
      <c r="K434" s="11">
        <v>107</v>
      </c>
      <c r="L434" s="11">
        <v>642</v>
      </c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>
        <v>107</v>
      </c>
      <c r="Z434" s="11"/>
      <c r="AA434" s="11"/>
      <c r="AB434" s="11"/>
      <c r="AC434" s="11"/>
      <c r="AD434" s="11"/>
      <c r="AE434" s="11"/>
      <c r="AF434" s="11">
        <v>107</v>
      </c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>
        <v>107</v>
      </c>
      <c r="AS434" s="11"/>
      <c r="AT434" s="11"/>
      <c r="AU434" s="11"/>
      <c r="AV434" s="11"/>
      <c r="AW434" s="20" t="str">
        <f>HYPERLINK("http://www.openstreetmap.org/?mlat=36.5547&amp;mlon=42.0994&amp;zoom=12#map=12/36.5547/42.0994","Maplink1")</f>
        <v>Maplink1</v>
      </c>
      <c r="AX434" s="20" t="str">
        <f>HYPERLINK("https://www.google.iq/maps/search/+36.5547,42.0994/@36.5547,42.0994,14z?hl=en","Maplink2")</f>
        <v>Maplink2</v>
      </c>
      <c r="AY434" s="20" t="str">
        <f>HYPERLINK("http://www.bing.com/maps/?lvl=14&amp;sty=h&amp;cp=36.5547~42.0994&amp;sp=point.36.5547_42.0994","Maplink3")</f>
        <v>Maplink3</v>
      </c>
    </row>
    <row r="435" spans="1:51" x14ac:dyDescent="0.25">
      <c r="A435" s="9">
        <v>25705</v>
      </c>
      <c r="B435" s="10" t="s">
        <v>20</v>
      </c>
      <c r="C435" s="10" t="s">
        <v>514</v>
      </c>
      <c r="D435" s="10" t="s">
        <v>595</v>
      </c>
      <c r="E435" s="10" t="s">
        <v>596</v>
      </c>
      <c r="F435" s="10">
        <v>36.577663999999999</v>
      </c>
      <c r="G435" s="10">
        <v>42.607740999999997</v>
      </c>
      <c r="H435" s="10" t="s">
        <v>443</v>
      </c>
      <c r="I435" s="10" t="s">
        <v>516</v>
      </c>
      <c r="J435" s="10"/>
      <c r="K435" s="11">
        <v>25</v>
      </c>
      <c r="L435" s="11">
        <v>150</v>
      </c>
      <c r="M435" s="11"/>
      <c r="N435" s="11"/>
      <c r="O435" s="11"/>
      <c r="P435" s="11"/>
      <c r="Q435" s="11">
        <v>25</v>
      </c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>
        <v>25</v>
      </c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>
        <v>25</v>
      </c>
      <c r="AS435" s="11"/>
      <c r="AT435" s="11"/>
      <c r="AU435" s="11"/>
      <c r="AV435" s="11"/>
      <c r="AW435" s="20" t="str">
        <f>HYPERLINK("http://www.openstreetmap.org/?mlat=36.5777&amp;mlon=42.6077&amp;zoom=12#map=12/36.5777/42.6077","Maplink1")</f>
        <v>Maplink1</v>
      </c>
      <c r="AX435" s="20" t="str">
        <f>HYPERLINK("https://www.google.iq/maps/search/+36.5777,42.6077/@36.5777,42.6077,14z?hl=en","Maplink2")</f>
        <v>Maplink2</v>
      </c>
      <c r="AY435" s="20" t="str">
        <f>HYPERLINK("http://www.bing.com/maps/?lvl=14&amp;sty=h&amp;cp=36.5777~42.6077&amp;sp=point.36.5777_42.6077","Maplink3")</f>
        <v>Maplink3</v>
      </c>
    </row>
    <row r="436" spans="1:51" x14ac:dyDescent="0.25">
      <c r="A436" s="9">
        <v>17572</v>
      </c>
      <c r="B436" s="10" t="s">
        <v>20</v>
      </c>
      <c r="C436" s="10" t="s">
        <v>598</v>
      </c>
      <c r="D436" s="10" t="s">
        <v>602</v>
      </c>
      <c r="E436" s="10" t="s">
        <v>603</v>
      </c>
      <c r="F436" s="10">
        <v>36.595987999999998</v>
      </c>
      <c r="G436" s="10">
        <v>42.879147000000003</v>
      </c>
      <c r="H436" s="10" t="s">
        <v>443</v>
      </c>
      <c r="I436" s="10" t="s">
        <v>599</v>
      </c>
      <c r="J436" s="10" t="s">
        <v>604</v>
      </c>
      <c r="K436" s="11">
        <v>56</v>
      </c>
      <c r="L436" s="11">
        <v>336</v>
      </c>
      <c r="M436" s="11"/>
      <c r="N436" s="11"/>
      <c r="O436" s="11"/>
      <c r="P436" s="11"/>
      <c r="Q436" s="11">
        <v>56</v>
      </c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>
        <v>56</v>
      </c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>
        <v>56</v>
      </c>
      <c r="AS436" s="11"/>
      <c r="AT436" s="11"/>
      <c r="AU436" s="11"/>
      <c r="AV436" s="11"/>
      <c r="AW436" s="20" t="str">
        <f>HYPERLINK("http://www.openstreetmap.org/?mlat=36.596&amp;mlon=42.8791&amp;zoom=12#map=12/36.596/42.8791","Maplink1")</f>
        <v>Maplink1</v>
      </c>
      <c r="AX436" s="20" t="str">
        <f>HYPERLINK("https://www.google.iq/maps/search/+36.596,42.8791/@36.596,42.8791,14z?hl=en","Maplink2")</f>
        <v>Maplink2</v>
      </c>
      <c r="AY436" s="20" t="str">
        <f>HYPERLINK("http://www.bing.com/maps/?lvl=14&amp;sty=h&amp;cp=36.596~42.8791&amp;sp=point.36.596_42.8791","Maplink3")</f>
        <v>Maplink3</v>
      </c>
    </row>
    <row r="437" spans="1:51" x14ac:dyDescent="0.25">
      <c r="A437" s="9">
        <v>17949</v>
      </c>
      <c r="B437" s="10" t="s">
        <v>20</v>
      </c>
      <c r="C437" s="10" t="s">
        <v>598</v>
      </c>
      <c r="D437" s="10" t="s">
        <v>969</v>
      </c>
      <c r="E437" s="10" t="s">
        <v>600</v>
      </c>
      <c r="F437" s="10">
        <v>36.679113000000001</v>
      </c>
      <c r="G437" s="10">
        <v>43.014702999999997</v>
      </c>
      <c r="H437" s="10" t="s">
        <v>443</v>
      </c>
      <c r="I437" s="10" t="s">
        <v>599</v>
      </c>
      <c r="J437" s="10" t="s">
        <v>601</v>
      </c>
      <c r="K437" s="11">
        <v>180</v>
      </c>
      <c r="L437" s="11">
        <v>1080</v>
      </c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>
        <v>180</v>
      </c>
      <c r="Z437" s="11"/>
      <c r="AA437" s="11"/>
      <c r="AB437" s="11"/>
      <c r="AC437" s="11"/>
      <c r="AD437" s="11"/>
      <c r="AE437" s="11"/>
      <c r="AF437" s="11">
        <v>180</v>
      </c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>
        <v>180</v>
      </c>
      <c r="AS437" s="11"/>
      <c r="AT437" s="11"/>
      <c r="AU437" s="11"/>
      <c r="AV437" s="11"/>
      <c r="AW437" s="20" t="str">
        <f>HYPERLINK("http://www.openstreetmap.org/?mlat=36.6791&amp;mlon=43.0147&amp;zoom=12#map=12/36.6791/43.0147","Maplink1")</f>
        <v>Maplink1</v>
      </c>
      <c r="AX437" s="20" t="str">
        <f>HYPERLINK("https://www.google.iq/maps/search/+36.6791,43.0147/@36.6791,43.0147,14z?hl=en","Maplink2")</f>
        <v>Maplink2</v>
      </c>
      <c r="AY437" s="20" t="str">
        <f>HYPERLINK("http://www.bing.com/maps/?lvl=14&amp;sty=h&amp;cp=36.6791~43.0147&amp;sp=point.36.6791_43.0147","Maplink3")</f>
        <v>Maplink3</v>
      </c>
    </row>
    <row r="438" spans="1:51" x14ac:dyDescent="0.25">
      <c r="A438" s="9">
        <v>18046</v>
      </c>
      <c r="B438" s="10" t="s">
        <v>20</v>
      </c>
      <c r="C438" s="10" t="s">
        <v>598</v>
      </c>
      <c r="D438" s="10" t="s">
        <v>1174</v>
      </c>
      <c r="E438" s="10" t="s">
        <v>607</v>
      </c>
      <c r="F438" s="10">
        <v>36.623544000000003</v>
      </c>
      <c r="G438" s="10">
        <v>42.982211999999997</v>
      </c>
      <c r="H438" s="10" t="s">
        <v>443</v>
      </c>
      <c r="I438" s="10" t="s">
        <v>599</v>
      </c>
      <c r="J438" s="10" t="s">
        <v>608</v>
      </c>
      <c r="K438" s="11">
        <v>270</v>
      </c>
      <c r="L438" s="11">
        <v>1620</v>
      </c>
      <c r="M438" s="11"/>
      <c r="N438" s="11"/>
      <c r="O438" s="11"/>
      <c r="P438" s="11"/>
      <c r="Q438" s="11">
        <v>270</v>
      </c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>
        <v>270</v>
      </c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>
        <v>270</v>
      </c>
      <c r="AS438" s="11"/>
      <c r="AT438" s="11"/>
      <c r="AU438" s="11"/>
      <c r="AV438" s="11"/>
      <c r="AW438" s="20" t="str">
        <f>HYPERLINK("http://www.openstreetmap.org/?mlat=36.6235&amp;mlon=42.9822&amp;zoom=12#map=12/36.6235/42.9822","Maplink1")</f>
        <v>Maplink1</v>
      </c>
      <c r="AX438" s="20" t="str">
        <f>HYPERLINK("https://www.google.iq/maps/search/+36.6235,42.9822/@36.6235,42.9822,14z?hl=en","Maplink2")</f>
        <v>Maplink2</v>
      </c>
      <c r="AY438" s="20" t="str">
        <f>HYPERLINK("http://www.bing.com/maps/?lvl=14&amp;sty=h&amp;cp=36.6235~42.9822&amp;sp=point.36.6235_42.9822","Maplink3")</f>
        <v>Maplink3</v>
      </c>
    </row>
    <row r="439" spans="1:51" x14ac:dyDescent="0.25">
      <c r="A439" s="9">
        <v>27350</v>
      </c>
      <c r="B439" s="10" t="s">
        <v>20</v>
      </c>
      <c r="C439" s="10" t="s">
        <v>598</v>
      </c>
      <c r="D439" s="10" t="s">
        <v>605</v>
      </c>
      <c r="E439" s="10" t="s">
        <v>606</v>
      </c>
      <c r="F439" s="10">
        <v>36.622458999999999</v>
      </c>
      <c r="G439" s="10">
        <v>42.831826</v>
      </c>
      <c r="H439" s="10" t="s">
        <v>443</v>
      </c>
      <c r="I439" s="10" t="s">
        <v>599</v>
      </c>
      <c r="J439" s="10"/>
      <c r="K439" s="11">
        <v>689</v>
      </c>
      <c r="L439" s="11">
        <v>4134</v>
      </c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>
        <v>689</v>
      </c>
      <c r="Z439" s="11"/>
      <c r="AA439" s="11"/>
      <c r="AB439" s="11"/>
      <c r="AC439" s="11"/>
      <c r="AD439" s="11"/>
      <c r="AE439" s="11"/>
      <c r="AF439" s="11">
        <v>689</v>
      </c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>
        <v>689</v>
      </c>
      <c r="AS439" s="11"/>
      <c r="AT439" s="11"/>
      <c r="AU439" s="11"/>
      <c r="AV439" s="11"/>
      <c r="AW439" s="20" t="str">
        <f>HYPERLINK("http://www.openstreetmap.org/?mlat=36.6225&amp;mlon=42.8318&amp;zoom=12#map=12/36.6225/42.8318","Maplink1")</f>
        <v>Maplink1</v>
      </c>
      <c r="AX439" s="20" t="str">
        <f>HYPERLINK("https://www.google.iq/maps/search/+36.6225,42.8318/@36.6225,42.8318,14z?hl=en","Maplink2")</f>
        <v>Maplink2</v>
      </c>
      <c r="AY439" s="20" t="str">
        <f>HYPERLINK("http://www.bing.com/maps/?lvl=14&amp;sty=h&amp;cp=36.6225~42.8318&amp;sp=point.36.6225_42.8318","Maplink3")</f>
        <v>Maplink3</v>
      </c>
    </row>
    <row r="440" spans="1:51" x14ac:dyDescent="0.25">
      <c r="A440" s="9">
        <v>17931</v>
      </c>
      <c r="B440" s="10" t="s">
        <v>20</v>
      </c>
      <c r="C440" s="10" t="s">
        <v>598</v>
      </c>
      <c r="D440" s="10" t="s">
        <v>1175</v>
      </c>
      <c r="E440" s="10" t="s">
        <v>609</v>
      </c>
      <c r="F440" s="10">
        <v>36.609099000000001</v>
      </c>
      <c r="G440" s="10">
        <v>42.982841999999998</v>
      </c>
      <c r="H440" s="10" t="s">
        <v>443</v>
      </c>
      <c r="I440" s="10" t="s">
        <v>599</v>
      </c>
      <c r="J440" s="10" t="s">
        <v>610</v>
      </c>
      <c r="K440" s="11">
        <v>387</v>
      </c>
      <c r="L440" s="11">
        <v>2322</v>
      </c>
      <c r="M440" s="11"/>
      <c r="N440" s="11"/>
      <c r="O440" s="11"/>
      <c r="P440" s="11"/>
      <c r="Q440" s="11">
        <v>287</v>
      </c>
      <c r="R440" s="11"/>
      <c r="S440" s="11"/>
      <c r="T440" s="11"/>
      <c r="U440" s="11"/>
      <c r="V440" s="11"/>
      <c r="W440" s="11"/>
      <c r="X440" s="11"/>
      <c r="Y440" s="11">
        <v>100</v>
      </c>
      <c r="Z440" s="11"/>
      <c r="AA440" s="11"/>
      <c r="AB440" s="11"/>
      <c r="AC440" s="11"/>
      <c r="AD440" s="11"/>
      <c r="AE440" s="11"/>
      <c r="AF440" s="11">
        <v>387</v>
      </c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>
        <v>387</v>
      </c>
      <c r="AS440" s="11"/>
      <c r="AT440" s="11"/>
      <c r="AU440" s="11"/>
      <c r="AV440" s="11"/>
      <c r="AW440" s="20" t="str">
        <f>HYPERLINK("http://www.openstreetmap.org/?mlat=36.6091&amp;mlon=42.9828&amp;zoom=12#map=12/36.6091/42.9828","Maplink1")</f>
        <v>Maplink1</v>
      </c>
      <c r="AX440" s="20" t="str">
        <f>HYPERLINK("https://www.google.iq/maps/search/+36.6091,42.9828/@36.6091,42.9828,14z?hl=en","Maplink2")</f>
        <v>Maplink2</v>
      </c>
      <c r="AY440" s="20" t="str">
        <f>HYPERLINK("http://www.bing.com/maps/?lvl=14&amp;sty=h&amp;cp=36.6091~42.9828&amp;sp=point.36.6091_42.9828","Maplink3")</f>
        <v>Maplink3</v>
      </c>
    </row>
    <row r="441" spans="1:51" x14ac:dyDescent="0.25">
      <c r="A441" s="9">
        <v>17133</v>
      </c>
      <c r="B441" s="10" t="s">
        <v>20</v>
      </c>
      <c r="C441" s="10" t="s">
        <v>598</v>
      </c>
      <c r="D441" s="10" t="s">
        <v>1176</v>
      </c>
      <c r="E441" s="10" t="s">
        <v>1177</v>
      </c>
      <c r="F441" s="10">
        <v>36.520000000000003</v>
      </c>
      <c r="G441" s="10">
        <v>42.75</v>
      </c>
      <c r="H441" s="10" t="s">
        <v>443</v>
      </c>
      <c r="I441" s="10" t="s">
        <v>599</v>
      </c>
      <c r="J441" s="10" t="s">
        <v>1178</v>
      </c>
      <c r="K441" s="11">
        <v>1790</v>
      </c>
      <c r="L441" s="11">
        <v>10740</v>
      </c>
      <c r="M441" s="11"/>
      <c r="N441" s="11"/>
      <c r="O441" s="11"/>
      <c r="P441" s="11"/>
      <c r="Q441" s="11">
        <v>1790</v>
      </c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>
        <v>1790</v>
      </c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>
        <v>1790</v>
      </c>
      <c r="AS441" s="11"/>
      <c r="AT441" s="11"/>
      <c r="AU441" s="11"/>
      <c r="AV441" s="11"/>
      <c r="AW441" s="20" t="str">
        <f>HYPERLINK("http://www.openstreetmap.org/?mlat=36.52&amp;mlon=42.75&amp;zoom=12#map=12/36.52/42.75","Maplink1")</f>
        <v>Maplink1</v>
      </c>
      <c r="AX441" s="20" t="str">
        <f>HYPERLINK("https://www.google.iq/maps/search/+36.52,42.75/@36.52,42.75,14z?hl=en","Maplink2")</f>
        <v>Maplink2</v>
      </c>
      <c r="AY441" s="20" t="str">
        <f>HYPERLINK("http://www.bing.com/maps/?lvl=14&amp;sty=h&amp;cp=36.52~42.75&amp;sp=point.36.52_42.75","Maplink3")</f>
        <v>Maplink3</v>
      </c>
    </row>
    <row r="442" spans="1:51" x14ac:dyDescent="0.25">
      <c r="A442" s="9">
        <v>26081</v>
      </c>
      <c r="B442" s="10" t="s">
        <v>22</v>
      </c>
      <c r="C442" s="10" t="s">
        <v>611</v>
      </c>
      <c r="D442" s="10" t="s">
        <v>802</v>
      </c>
      <c r="E442" s="10" t="s">
        <v>161</v>
      </c>
      <c r="F442" s="10">
        <v>34.460893390000003</v>
      </c>
      <c r="G442" s="10">
        <v>43.84258054</v>
      </c>
      <c r="H442" s="10" t="s">
        <v>612</v>
      </c>
      <c r="I442" s="10" t="s">
        <v>613</v>
      </c>
      <c r="J442" s="10"/>
      <c r="K442" s="11">
        <v>150</v>
      </c>
      <c r="L442" s="11">
        <v>900</v>
      </c>
      <c r="M442" s="11"/>
      <c r="N442" s="11"/>
      <c r="O442" s="11"/>
      <c r="P442" s="11"/>
      <c r="Q442" s="11"/>
      <c r="R442" s="11"/>
      <c r="S442" s="11">
        <v>46</v>
      </c>
      <c r="T442" s="11"/>
      <c r="U442" s="11">
        <v>83</v>
      </c>
      <c r="V442" s="11"/>
      <c r="W442" s="11"/>
      <c r="X442" s="11"/>
      <c r="Y442" s="11"/>
      <c r="Z442" s="11"/>
      <c r="AA442" s="11">
        <v>4</v>
      </c>
      <c r="AB442" s="11">
        <v>17</v>
      </c>
      <c r="AC442" s="11"/>
      <c r="AD442" s="11"/>
      <c r="AE442" s="11"/>
      <c r="AF442" s="11">
        <v>134</v>
      </c>
      <c r="AG442" s="11">
        <v>9</v>
      </c>
      <c r="AH442" s="11"/>
      <c r="AI442" s="11"/>
      <c r="AJ442" s="11"/>
      <c r="AK442" s="11">
        <v>7</v>
      </c>
      <c r="AL442" s="11"/>
      <c r="AM442" s="11"/>
      <c r="AN442" s="11"/>
      <c r="AO442" s="11"/>
      <c r="AP442" s="11"/>
      <c r="AQ442" s="11">
        <v>98</v>
      </c>
      <c r="AR442" s="11">
        <v>52</v>
      </c>
      <c r="AS442" s="11"/>
      <c r="AT442" s="11"/>
      <c r="AU442" s="11"/>
      <c r="AV442" s="11"/>
      <c r="AW442" s="20" t="str">
        <f>HYPERLINK("http://www.openstreetmap.org/?mlat=34.4609&amp;mlon=43.8426&amp;zoom=12#map=12/34.4609/43.8426","Maplink1")</f>
        <v>Maplink1</v>
      </c>
      <c r="AX442" s="20" t="str">
        <f>HYPERLINK("https://www.google.iq/maps/search/+34.4609,43.8426/@34.4609,43.8426,14z?hl=en","Maplink2")</f>
        <v>Maplink2</v>
      </c>
      <c r="AY442" s="20" t="str">
        <f>HYPERLINK("http://www.bing.com/maps/?lvl=14&amp;sty=h&amp;cp=34.4609~43.8426&amp;sp=point.34.4609_43.8426","Maplink3")</f>
        <v>Maplink3</v>
      </c>
    </row>
    <row r="443" spans="1:51" x14ac:dyDescent="0.25">
      <c r="A443" s="9">
        <v>26116</v>
      </c>
      <c r="B443" s="10" t="s">
        <v>22</v>
      </c>
      <c r="C443" s="10" t="s">
        <v>611</v>
      </c>
      <c r="D443" s="10" t="s">
        <v>803</v>
      </c>
      <c r="E443" s="10" t="s">
        <v>617</v>
      </c>
      <c r="F443" s="10">
        <v>34.407308469999997</v>
      </c>
      <c r="G443" s="10">
        <v>43.79371673</v>
      </c>
      <c r="H443" s="10" t="s">
        <v>612</v>
      </c>
      <c r="I443" s="10" t="s">
        <v>613</v>
      </c>
      <c r="J443" s="10"/>
      <c r="K443" s="11">
        <v>2480</v>
      </c>
      <c r="L443" s="11">
        <v>14880</v>
      </c>
      <c r="M443" s="11"/>
      <c r="N443" s="11"/>
      <c r="O443" s="11">
        <v>3</v>
      </c>
      <c r="P443" s="11"/>
      <c r="Q443" s="11"/>
      <c r="R443" s="11"/>
      <c r="S443" s="11">
        <v>370</v>
      </c>
      <c r="T443" s="11"/>
      <c r="U443" s="11">
        <v>837</v>
      </c>
      <c r="V443" s="11"/>
      <c r="W443" s="11"/>
      <c r="X443" s="11"/>
      <c r="Y443" s="11"/>
      <c r="Z443" s="11"/>
      <c r="AA443" s="11">
        <v>822</v>
      </c>
      <c r="AB443" s="11">
        <v>448</v>
      </c>
      <c r="AC443" s="11"/>
      <c r="AD443" s="11"/>
      <c r="AE443" s="11"/>
      <c r="AF443" s="11">
        <v>2480</v>
      </c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>
        <v>1825</v>
      </c>
      <c r="AR443" s="11">
        <v>655</v>
      </c>
      <c r="AS443" s="11"/>
      <c r="AT443" s="11"/>
      <c r="AU443" s="11"/>
      <c r="AV443" s="11"/>
      <c r="AW443" s="20" t="str">
        <f>HYPERLINK("http://www.openstreetmap.org/?mlat=34.4073&amp;mlon=43.7937&amp;zoom=12#map=12/34.4073/43.7937","Maplink1")</f>
        <v>Maplink1</v>
      </c>
      <c r="AX443" s="20" t="str">
        <f>HYPERLINK("https://www.google.iq/maps/search/+34.4073,43.7937/@34.4073,43.7937,14z?hl=en","Maplink2")</f>
        <v>Maplink2</v>
      </c>
      <c r="AY443" s="20" t="str">
        <f>HYPERLINK("http://www.bing.com/maps/?lvl=14&amp;sty=h&amp;cp=34.4073~43.7937&amp;sp=point.34.4073_43.7937","Maplink3")</f>
        <v>Maplink3</v>
      </c>
    </row>
    <row r="444" spans="1:51" x14ac:dyDescent="0.25">
      <c r="A444" s="9">
        <v>20746</v>
      </c>
      <c r="B444" s="10" t="s">
        <v>22</v>
      </c>
      <c r="C444" s="10" t="s">
        <v>611</v>
      </c>
      <c r="D444" s="10" t="s">
        <v>614</v>
      </c>
      <c r="E444" s="10" t="s">
        <v>615</v>
      </c>
      <c r="F444" s="10">
        <v>34.476997580000003</v>
      </c>
      <c r="G444" s="10">
        <v>43.790740649999996</v>
      </c>
      <c r="H444" s="10" t="s">
        <v>612</v>
      </c>
      <c r="I444" s="10" t="s">
        <v>613</v>
      </c>
      <c r="J444" s="10" t="s">
        <v>616</v>
      </c>
      <c r="K444" s="11">
        <v>637</v>
      </c>
      <c r="L444" s="11">
        <v>3822</v>
      </c>
      <c r="M444" s="11"/>
      <c r="N444" s="11"/>
      <c r="O444" s="11"/>
      <c r="P444" s="11"/>
      <c r="Q444" s="11"/>
      <c r="R444" s="11"/>
      <c r="S444" s="11">
        <v>95</v>
      </c>
      <c r="T444" s="11"/>
      <c r="U444" s="11">
        <v>205</v>
      </c>
      <c r="V444" s="11"/>
      <c r="W444" s="11"/>
      <c r="X444" s="11"/>
      <c r="Y444" s="11"/>
      <c r="Z444" s="11"/>
      <c r="AA444" s="11">
        <v>153</v>
      </c>
      <c r="AB444" s="11">
        <v>184</v>
      </c>
      <c r="AC444" s="11"/>
      <c r="AD444" s="11"/>
      <c r="AE444" s="11"/>
      <c r="AF444" s="11">
        <v>634</v>
      </c>
      <c r="AG444" s="11"/>
      <c r="AH444" s="11"/>
      <c r="AI444" s="11"/>
      <c r="AJ444" s="11"/>
      <c r="AK444" s="11"/>
      <c r="AL444" s="11">
        <v>3</v>
      </c>
      <c r="AM444" s="11"/>
      <c r="AN444" s="11"/>
      <c r="AO444" s="11"/>
      <c r="AP444" s="11"/>
      <c r="AQ444" s="11">
        <v>596</v>
      </c>
      <c r="AR444" s="11">
        <v>32</v>
      </c>
      <c r="AS444" s="11">
        <v>9</v>
      </c>
      <c r="AT444" s="11"/>
      <c r="AU444" s="11"/>
      <c r="AV444" s="11"/>
      <c r="AW444" s="20" t="str">
        <f>HYPERLINK("http://www.openstreetmap.org/?mlat=34.477&amp;mlon=43.7907&amp;zoom=12#map=12/34.477/43.7907","Maplink1")</f>
        <v>Maplink1</v>
      </c>
      <c r="AX444" s="20" t="str">
        <f>HYPERLINK("https://www.google.iq/maps/search/+34.477,43.7907/@34.477,43.7907,14z?hl=en","Maplink2")</f>
        <v>Maplink2</v>
      </c>
      <c r="AY444" s="20" t="str">
        <f>HYPERLINK("http://www.bing.com/maps/?lvl=14&amp;sty=h&amp;cp=34.477~43.7907&amp;sp=point.34.477_43.7907","Maplink3")</f>
        <v>Maplink3</v>
      </c>
    </row>
    <row r="445" spans="1:51" s="19" customFormat="1" x14ac:dyDescent="0.25">
      <c r="A445" s="9">
        <v>20587</v>
      </c>
      <c r="B445" s="10" t="s">
        <v>22</v>
      </c>
      <c r="C445" s="10" t="s">
        <v>611</v>
      </c>
      <c r="D445" s="10" t="s">
        <v>618</v>
      </c>
      <c r="E445" s="10" t="s">
        <v>619</v>
      </c>
      <c r="F445" s="10">
        <v>34.455692169999999</v>
      </c>
      <c r="G445" s="10">
        <v>43.797937859999998</v>
      </c>
      <c r="H445" s="10" t="s">
        <v>612</v>
      </c>
      <c r="I445" s="10" t="s">
        <v>613</v>
      </c>
      <c r="J445" s="10" t="s">
        <v>620</v>
      </c>
      <c r="K445" s="11">
        <v>1401</v>
      </c>
      <c r="L445" s="11">
        <v>8406</v>
      </c>
      <c r="M445" s="11"/>
      <c r="N445" s="11"/>
      <c r="O445" s="11">
        <v>3</v>
      </c>
      <c r="P445" s="11"/>
      <c r="Q445" s="11"/>
      <c r="R445" s="11"/>
      <c r="S445" s="11">
        <v>82</v>
      </c>
      <c r="T445" s="11"/>
      <c r="U445" s="11">
        <v>756</v>
      </c>
      <c r="V445" s="11"/>
      <c r="W445" s="11"/>
      <c r="X445" s="11"/>
      <c r="Y445" s="11"/>
      <c r="Z445" s="11"/>
      <c r="AA445" s="11">
        <v>523</v>
      </c>
      <c r="AB445" s="11">
        <v>37</v>
      </c>
      <c r="AC445" s="11"/>
      <c r="AD445" s="11"/>
      <c r="AE445" s="11"/>
      <c r="AF445" s="11">
        <v>1369</v>
      </c>
      <c r="AG445" s="11"/>
      <c r="AH445" s="11"/>
      <c r="AI445" s="11"/>
      <c r="AJ445" s="11"/>
      <c r="AK445" s="11"/>
      <c r="AL445" s="11">
        <v>32</v>
      </c>
      <c r="AM445" s="11"/>
      <c r="AN445" s="11"/>
      <c r="AO445" s="11"/>
      <c r="AP445" s="11">
        <v>990</v>
      </c>
      <c r="AQ445" s="11">
        <v>396</v>
      </c>
      <c r="AR445" s="11"/>
      <c r="AS445" s="11"/>
      <c r="AT445" s="11">
        <v>15</v>
      </c>
      <c r="AU445" s="11"/>
      <c r="AV445" s="11"/>
      <c r="AW445" s="20" t="str">
        <f>HYPERLINK("http://www.openstreetmap.org/?mlat=34.4557&amp;mlon=43.7979&amp;zoom=12#map=12/34.4557/43.7979","Maplink1")</f>
        <v>Maplink1</v>
      </c>
      <c r="AX445" s="20" t="str">
        <f>HYPERLINK("https://www.google.iq/maps/search/+34.4557,43.7979/@34.4557,43.7979,14z?hl=en","Maplink2")</f>
        <v>Maplink2</v>
      </c>
      <c r="AY445" s="20" t="str">
        <f>HYPERLINK("http://www.bing.com/maps/?lvl=14&amp;sty=h&amp;cp=34.4557~43.7979&amp;sp=point.34.4557_43.7979","Maplink3")</f>
        <v>Maplink3</v>
      </c>
    </row>
    <row r="446" spans="1:51" s="19" customFormat="1" x14ac:dyDescent="0.25">
      <c r="A446" s="9">
        <v>26079</v>
      </c>
      <c r="B446" s="10" t="s">
        <v>22</v>
      </c>
      <c r="C446" s="10" t="s">
        <v>611</v>
      </c>
      <c r="D446" s="10" t="s">
        <v>804</v>
      </c>
      <c r="E446" s="10" t="s">
        <v>623</v>
      </c>
      <c r="F446" s="10">
        <v>34.464746890000001</v>
      </c>
      <c r="G446" s="10">
        <v>43.791234510000002</v>
      </c>
      <c r="H446" s="10" t="s">
        <v>612</v>
      </c>
      <c r="I446" s="10" t="s">
        <v>613</v>
      </c>
      <c r="J446" s="10"/>
      <c r="K446" s="11">
        <v>881</v>
      </c>
      <c r="L446" s="11">
        <v>5286</v>
      </c>
      <c r="M446" s="11"/>
      <c r="N446" s="11"/>
      <c r="O446" s="11">
        <v>4</v>
      </c>
      <c r="P446" s="11"/>
      <c r="Q446" s="11"/>
      <c r="R446" s="11"/>
      <c r="S446" s="11">
        <v>119</v>
      </c>
      <c r="T446" s="11"/>
      <c r="U446" s="11">
        <v>529</v>
      </c>
      <c r="V446" s="11"/>
      <c r="W446" s="11"/>
      <c r="X446" s="11"/>
      <c r="Y446" s="11"/>
      <c r="Z446" s="11"/>
      <c r="AA446" s="11">
        <v>156</v>
      </c>
      <c r="AB446" s="11">
        <v>73</v>
      </c>
      <c r="AC446" s="11"/>
      <c r="AD446" s="11"/>
      <c r="AE446" s="11"/>
      <c r="AF446" s="11">
        <v>881</v>
      </c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>
        <v>857</v>
      </c>
      <c r="AR446" s="11">
        <v>24</v>
      </c>
      <c r="AS446" s="11"/>
      <c r="AT446" s="11"/>
      <c r="AU446" s="11"/>
      <c r="AV446" s="11"/>
      <c r="AW446" s="20" t="str">
        <f>HYPERLINK("http://www.openstreetmap.org/?mlat=34.4647&amp;mlon=43.7912&amp;zoom=12#map=12/34.4647/43.7912","Maplink1")</f>
        <v>Maplink1</v>
      </c>
      <c r="AX446" s="20" t="str">
        <f>HYPERLINK("https://www.google.iq/maps/search/+34.4647,43.7912/@34.4647,43.7912,14z?hl=en","Maplink2")</f>
        <v>Maplink2</v>
      </c>
      <c r="AY446" s="20" t="str">
        <f>HYPERLINK("http://www.bing.com/maps/?lvl=14&amp;sty=h&amp;cp=34.4647~43.7912&amp;sp=point.34.4647_43.7912","Maplink3")</f>
        <v>Maplink3</v>
      </c>
    </row>
    <row r="447" spans="1:51" s="19" customFormat="1" x14ac:dyDescent="0.25">
      <c r="A447" s="9">
        <v>26078</v>
      </c>
      <c r="B447" s="10" t="s">
        <v>22</v>
      </c>
      <c r="C447" s="10" t="s">
        <v>611</v>
      </c>
      <c r="D447" s="10" t="s">
        <v>805</v>
      </c>
      <c r="E447" s="10" t="s">
        <v>545</v>
      </c>
      <c r="F447" s="10">
        <v>34.462648479999999</v>
      </c>
      <c r="G447" s="10">
        <v>43.795100499999997</v>
      </c>
      <c r="H447" s="10" t="s">
        <v>612</v>
      </c>
      <c r="I447" s="10" t="s">
        <v>613</v>
      </c>
      <c r="J447" s="10"/>
      <c r="K447" s="11">
        <v>831</v>
      </c>
      <c r="L447" s="11">
        <v>4986</v>
      </c>
      <c r="M447" s="11"/>
      <c r="N447" s="11"/>
      <c r="O447" s="11">
        <v>1</v>
      </c>
      <c r="P447" s="11"/>
      <c r="Q447" s="11"/>
      <c r="R447" s="11"/>
      <c r="S447" s="11">
        <v>135</v>
      </c>
      <c r="T447" s="11"/>
      <c r="U447" s="11">
        <v>471</v>
      </c>
      <c r="V447" s="11"/>
      <c r="W447" s="11"/>
      <c r="X447" s="11"/>
      <c r="Y447" s="11"/>
      <c r="Z447" s="11"/>
      <c r="AA447" s="11">
        <v>100</v>
      </c>
      <c r="AB447" s="11">
        <v>124</v>
      </c>
      <c r="AC447" s="11"/>
      <c r="AD447" s="11"/>
      <c r="AE447" s="11"/>
      <c r="AF447" s="11">
        <v>827</v>
      </c>
      <c r="AG447" s="11"/>
      <c r="AH447" s="11"/>
      <c r="AI447" s="11"/>
      <c r="AJ447" s="11"/>
      <c r="AK447" s="11"/>
      <c r="AL447" s="11">
        <v>4</v>
      </c>
      <c r="AM447" s="11"/>
      <c r="AN447" s="11"/>
      <c r="AO447" s="11"/>
      <c r="AP447" s="11"/>
      <c r="AQ447" s="11">
        <v>831</v>
      </c>
      <c r="AR447" s="11"/>
      <c r="AS447" s="11"/>
      <c r="AT447" s="11"/>
      <c r="AU447" s="11"/>
      <c r="AV447" s="11"/>
      <c r="AW447" s="20" t="str">
        <f>HYPERLINK("http://www.openstreetmap.org/?mlat=34.4626&amp;mlon=43.7951&amp;zoom=12#map=12/34.4626/43.7951","Maplink1")</f>
        <v>Maplink1</v>
      </c>
      <c r="AX447" s="20" t="str">
        <f>HYPERLINK("https://www.google.iq/maps/search/+34.4626,43.7951/@34.4626,43.7951,14z?hl=en","Maplink2")</f>
        <v>Maplink2</v>
      </c>
      <c r="AY447" s="20" t="str">
        <f>HYPERLINK("http://www.bing.com/maps/?lvl=14&amp;sty=h&amp;cp=34.4626~43.7951&amp;sp=point.34.4626_43.7951","Maplink3")</f>
        <v>Maplink3</v>
      </c>
    </row>
    <row r="448" spans="1:51" s="19" customFormat="1" x14ac:dyDescent="0.25">
      <c r="A448" s="9">
        <v>26082</v>
      </c>
      <c r="B448" s="10" t="s">
        <v>22</v>
      </c>
      <c r="C448" s="10" t="s">
        <v>611</v>
      </c>
      <c r="D448" s="10" t="s">
        <v>806</v>
      </c>
      <c r="E448" s="10" t="s">
        <v>624</v>
      </c>
      <c r="F448" s="10">
        <v>34.456560320000001</v>
      </c>
      <c r="G448" s="10">
        <v>43.805647530000002</v>
      </c>
      <c r="H448" s="10" t="s">
        <v>612</v>
      </c>
      <c r="I448" s="10" t="s">
        <v>613</v>
      </c>
      <c r="J448" s="10"/>
      <c r="K448" s="11">
        <v>350</v>
      </c>
      <c r="L448" s="11">
        <v>2100</v>
      </c>
      <c r="M448" s="11"/>
      <c r="N448" s="11"/>
      <c r="O448" s="11">
        <v>5</v>
      </c>
      <c r="P448" s="11"/>
      <c r="Q448" s="11"/>
      <c r="R448" s="11"/>
      <c r="S448" s="11">
        <v>50</v>
      </c>
      <c r="T448" s="11"/>
      <c r="U448" s="11">
        <v>67</v>
      </c>
      <c r="V448" s="11"/>
      <c r="W448" s="11"/>
      <c r="X448" s="11"/>
      <c r="Y448" s="11"/>
      <c r="Z448" s="11"/>
      <c r="AA448" s="11">
        <v>213</v>
      </c>
      <c r="AB448" s="11">
        <v>15</v>
      </c>
      <c r="AC448" s="11"/>
      <c r="AD448" s="11"/>
      <c r="AE448" s="11"/>
      <c r="AF448" s="11">
        <v>350</v>
      </c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>
        <v>305</v>
      </c>
      <c r="AR448" s="11">
        <v>45</v>
      </c>
      <c r="AS448" s="11"/>
      <c r="AT448" s="11"/>
      <c r="AU448" s="11"/>
      <c r="AV448" s="11"/>
      <c r="AW448" s="20" t="str">
        <f>HYPERLINK("http://www.openstreetmap.org/?mlat=34.4566&amp;mlon=43.8056&amp;zoom=12#map=12/34.4566/43.8056","Maplink1")</f>
        <v>Maplink1</v>
      </c>
      <c r="AX448" s="20" t="str">
        <f>HYPERLINK("https://www.google.iq/maps/search/+34.4566,43.8056/@34.4566,43.8056,14z?hl=en","Maplink2")</f>
        <v>Maplink2</v>
      </c>
      <c r="AY448" s="20" t="str">
        <f>HYPERLINK("http://www.bing.com/maps/?lvl=14&amp;sty=h&amp;cp=34.4566~43.8056&amp;sp=point.34.4566_43.8056","Maplink3")</f>
        <v>Maplink3</v>
      </c>
    </row>
    <row r="449" spans="1:51" s="19" customFormat="1" x14ac:dyDescent="0.25">
      <c r="A449" s="9">
        <v>20713</v>
      </c>
      <c r="B449" s="10" t="s">
        <v>22</v>
      </c>
      <c r="C449" s="10" t="s">
        <v>611</v>
      </c>
      <c r="D449" s="10" t="s">
        <v>621</v>
      </c>
      <c r="E449" s="10" t="s">
        <v>550</v>
      </c>
      <c r="F449" s="10">
        <v>34.473313150000003</v>
      </c>
      <c r="G449" s="10">
        <v>43.791285729999998</v>
      </c>
      <c r="H449" s="10" t="s">
        <v>612</v>
      </c>
      <c r="I449" s="10" t="s">
        <v>613</v>
      </c>
      <c r="J449" s="10" t="s">
        <v>622</v>
      </c>
      <c r="K449" s="11">
        <v>739</v>
      </c>
      <c r="L449" s="11">
        <v>4434</v>
      </c>
      <c r="M449" s="11"/>
      <c r="N449" s="11"/>
      <c r="O449" s="11">
        <v>12</v>
      </c>
      <c r="P449" s="11"/>
      <c r="Q449" s="11"/>
      <c r="R449" s="11"/>
      <c r="S449" s="11">
        <v>43</v>
      </c>
      <c r="T449" s="11"/>
      <c r="U449" s="11">
        <v>408</v>
      </c>
      <c r="V449" s="11"/>
      <c r="W449" s="11"/>
      <c r="X449" s="11"/>
      <c r="Y449" s="11"/>
      <c r="Z449" s="11"/>
      <c r="AA449" s="11">
        <v>185</v>
      </c>
      <c r="AB449" s="11">
        <v>91</v>
      </c>
      <c r="AC449" s="11"/>
      <c r="AD449" s="11"/>
      <c r="AE449" s="11"/>
      <c r="AF449" s="11">
        <v>726</v>
      </c>
      <c r="AG449" s="11"/>
      <c r="AH449" s="11"/>
      <c r="AI449" s="11"/>
      <c r="AJ449" s="11"/>
      <c r="AK449" s="11"/>
      <c r="AL449" s="11">
        <v>13</v>
      </c>
      <c r="AM449" s="11"/>
      <c r="AN449" s="11"/>
      <c r="AO449" s="11"/>
      <c r="AP449" s="11"/>
      <c r="AQ449" s="11">
        <v>475</v>
      </c>
      <c r="AR449" s="11">
        <v>177</v>
      </c>
      <c r="AS449" s="11">
        <v>63</v>
      </c>
      <c r="AT449" s="11"/>
      <c r="AU449" s="11">
        <v>24</v>
      </c>
      <c r="AV449" s="11"/>
      <c r="AW449" s="20" t="str">
        <f>HYPERLINK("http://www.openstreetmap.org/?mlat=34.4733&amp;mlon=43.7913&amp;zoom=12#map=12/34.4733/43.7913","Maplink1")</f>
        <v>Maplink1</v>
      </c>
      <c r="AX449" s="20" t="str">
        <f>HYPERLINK("https://www.google.iq/maps/search/+34.4733,43.7913/@34.4733,43.7913,14z?hl=en","Maplink2")</f>
        <v>Maplink2</v>
      </c>
      <c r="AY449" s="20" t="str">
        <f>HYPERLINK("http://www.bing.com/maps/?lvl=14&amp;sty=h&amp;cp=34.4733~43.7913&amp;sp=point.34.4733_43.7913","Maplink3")</f>
        <v>Maplink3</v>
      </c>
    </row>
    <row r="450" spans="1:51" s="19" customFormat="1" x14ac:dyDescent="0.25">
      <c r="A450" s="9">
        <v>26080</v>
      </c>
      <c r="B450" s="10" t="s">
        <v>22</v>
      </c>
      <c r="C450" s="10" t="s">
        <v>611</v>
      </c>
      <c r="D450" s="10" t="s">
        <v>807</v>
      </c>
      <c r="E450" s="10" t="s">
        <v>625</v>
      </c>
      <c r="F450" s="10">
        <v>34.453507930000001</v>
      </c>
      <c r="G450" s="10">
        <v>43.79186232</v>
      </c>
      <c r="H450" s="10" t="s">
        <v>612</v>
      </c>
      <c r="I450" s="10" t="s">
        <v>613</v>
      </c>
      <c r="J450" s="10"/>
      <c r="K450" s="11">
        <v>398</v>
      </c>
      <c r="L450" s="11">
        <v>2388</v>
      </c>
      <c r="M450" s="11"/>
      <c r="N450" s="11"/>
      <c r="O450" s="11"/>
      <c r="P450" s="11"/>
      <c r="Q450" s="11"/>
      <c r="R450" s="11"/>
      <c r="S450" s="11">
        <v>36</v>
      </c>
      <c r="T450" s="11"/>
      <c r="U450" s="11">
        <v>117</v>
      </c>
      <c r="V450" s="11"/>
      <c r="W450" s="11"/>
      <c r="X450" s="11"/>
      <c r="Y450" s="11"/>
      <c r="Z450" s="11"/>
      <c r="AA450" s="11">
        <v>225</v>
      </c>
      <c r="AB450" s="11">
        <v>20</v>
      </c>
      <c r="AC450" s="11"/>
      <c r="AD450" s="11"/>
      <c r="AE450" s="11"/>
      <c r="AF450" s="11">
        <v>398</v>
      </c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>
        <v>398</v>
      </c>
      <c r="AR450" s="11"/>
      <c r="AS450" s="11"/>
      <c r="AT450" s="11"/>
      <c r="AU450" s="11"/>
      <c r="AV450" s="11"/>
      <c r="AW450" s="20" t="str">
        <f>HYPERLINK("http://www.openstreetmap.org/?mlat=34.4535&amp;mlon=43.7919&amp;zoom=12#map=12/34.4535/43.7919","Maplink1")</f>
        <v>Maplink1</v>
      </c>
      <c r="AX450" s="20" t="str">
        <f>HYPERLINK("https://www.google.iq/maps/search/+34.4535,43.7919/@34.4535,43.7919,14z?hl=en","Maplink2")</f>
        <v>Maplink2</v>
      </c>
      <c r="AY450" s="20" t="str">
        <f>HYPERLINK("http://www.bing.com/maps/?lvl=14&amp;sty=h&amp;cp=34.4535~43.7919&amp;sp=point.34.4535_43.7919","Maplink3")</f>
        <v>Maplink3</v>
      </c>
    </row>
    <row r="451" spans="1:51" s="19" customFormat="1" x14ac:dyDescent="0.25">
      <c r="A451" s="9">
        <v>26077</v>
      </c>
      <c r="B451" s="10" t="s">
        <v>22</v>
      </c>
      <c r="C451" s="10" t="s">
        <v>611</v>
      </c>
      <c r="D451" s="10" t="s">
        <v>808</v>
      </c>
      <c r="E451" s="10" t="s">
        <v>626</v>
      </c>
      <c r="F451" s="10">
        <v>34.446231679999997</v>
      </c>
      <c r="G451" s="10">
        <v>43.797421450000002</v>
      </c>
      <c r="H451" s="10" t="s">
        <v>612</v>
      </c>
      <c r="I451" s="10" t="s">
        <v>613</v>
      </c>
      <c r="J451" s="10"/>
      <c r="K451" s="11">
        <v>1210</v>
      </c>
      <c r="L451" s="11">
        <v>7260</v>
      </c>
      <c r="M451" s="11"/>
      <c r="N451" s="11"/>
      <c r="O451" s="11"/>
      <c r="P451" s="11"/>
      <c r="Q451" s="11"/>
      <c r="R451" s="11"/>
      <c r="S451" s="11">
        <v>106</v>
      </c>
      <c r="T451" s="11"/>
      <c r="U451" s="11">
        <v>725</v>
      </c>
      <c r="V451" s="11"/>
      <c r="W451" s="11"/>
      <c r="X451" s="11"/>
      <c r="Y451" s="11"/>
      <c r="Z451" s="11"/>
      <c r="AA451" s="11">
        <v>379</v>
      </c>
      <c r="AB451" s="11"/>
      <c r="AC451" s="11"/>
      <c r="AD451" s="11"/>
      <c r="AE451" s="11"/>
      <c r="AF451" s="11">
        <v>1210</v>
      </c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>
        <v>1190</v>
      </c>
      <c r="AR451" s="11">
        <v>20</v>
      </c>
      <c r="AS451" s="11"/>
      <c r="AT451" s="11"/>
      <c r="AU451" s="11"/>
      <c r="AV451" s="11"/>
      <c r="AW451" s="20" t="str">
        <f>HYPERLINK("http://www.openstreetmap.org/?mlat=34.4462&amp;mlon=43.7974&amp;zoom=12#map=12/34.4462/43.7974","Maplink1")</f>
        <v>Maplink1</v>
      </c>
      <c r="AX451" s="20" t="str">
        <f>HYPERLINK("https://www.google.iq/maps/search/+34.4462,43.7974/@34.4462,43.7974,14z?hl=en","Maplink2")</f>
        <v>Maplink2</v>
      </c>
      <c r="AY451" s="20" t="str">
        <f>HYPERLINK("http://www.bing.com/maps/?lvl=14&amp;sty=h&amp;cp=34.4462~43.7974&amp;sp=point.34.4462_43.7974","Maplink3")</f>
        <v>Maplink3</v>
      </c>
    </row>
    <row r="452" spans="1:51" s="19" customFormat="1" x14ac:dyDescent="0.25">
      <c r="A452" s="9">
        <v>28420</v>
      </c>
      <c r="B452" s="10" t="s">
        <v>22</v>
      </c>
      <c r="C452" s="10" t="s">
        <v>627</v>
      </c>
      <c r="D452" s="10" t="s">
        <v>1179</v>
      </c>
      <c r="E452" s="10" t="s">
        <v>1180</v>
      </c>
      <c r="F452" s="10">
        <v>33.876317280000002</v>
      </c>
      <c r="G452" s="10">
        <v>44.358220889999998</v>
      </c>
      <c r="H452" s="10" t="s">
        <v>612</v>
      </c>
      <c r="I452" s="10" t="s">
        <v>628</v>
      </c>
      <c r="J452" s="10"/>
      <c r="K452" s="11">
        <v>540</v>
      </c>
      <c r="L452" s="11">
        <v>3240</v>
      </c>
      <c r="M452" s="11"/>
      <c r="N452" s="11"/>
      <c r="O452" s="11">
        <v>110</v>
      </c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>
        <v>430</v>
      </c>
      <c r="AB452" s="11"/>
      <c r="AC452" s="11"/>
      <c r="AD452" s="11"/>
      <c r="AE452" s="11"/>
      <c r="AF452" s="11">
        <v>437</v>
      </c>
      <c r="AG452" s="11">
        <v>63</v>
      </c>
      <c r="AH452" s="11"/>
      <c r="AI452" s="11"/>
      <c r="AJ452" s="11"/>
      <c r="AK452" s="11"/>
      <c r="AL452" s="11">
        <v>40</v>
      </c>
      <c r="AM452" s="11"/>
      <c r="AN452" s="11"/>
      <c r="AO452" s="11"/>
      <c r="AP452" s="11">
        <v>415</v>
      </c>
      <c r="AQ452" s="11">
        <v>125</v>
      </c>
      <c r="AR452" s="11"/>
      <c r="AS452" s="11"/>
      <c r="AT452" s="11"/>
      <c r="AU452" s="11"/>
      <c r="AV452" s="11"/>
      <c r="AW452" s="20" t="str">
        <f>HYPERLINK("http://www.openstreetmap.org/?mlat=33.8763&amp;mlon=44.3582&amp;zoom=12#map=12/33.8763/44.3582","Maplink1")</f>
        <v>Maplink1</v>
      </c>
      <c r="AX452" s="20" t="str">
        <f>HYPERLINK("https://www.google.iq/maps/search/+33.8763,44.3582/@33.8763,44.3582,14z?hl=en","Maplink2")</f>
        <v>Maplink2</v>
      </c>
      <c r="AY452" s="20" t="str">
        <f>HYPERLINK("http://www.bing.com/maps/?lvl=14&amp;sty=h&amp;cp=33.8763~44.3582&amp;sp=point.33.8763_44.3582","Maplink3")</f>
        <v>Maplink3</v>
      </c>
    </row>
    <row r="453" spans="1:51" s="19" customFormat="1" x14ac:dyDescent="0.25">
      <c r="A453" s="9">
        <v>25947</v>
      </c>
      <c r="B453" s="10" t="s">
        <v>22</v>
      </c>
      <c r="C453" s="10" t="s">
        <v>627</v>
      </c>
      <c r="D453" s="10" t="s">
        <v>1181</v>
      </c>
      <c r="E453" s="10" t="s">
        <v>629</v>
      </c>
      <c r="F453" s="10">
        <v>33.909243490000001</v>
      </c>
      <c r="G453" s="10">
        <v>44.183530609999998</v>
      </c>
      <c r="H453" s="10" t="s">
        <v>612</v>
      </c>
      <c r="I453" s="10" t="s">
        <v>628</v>
      </c>
      <c r="J453" s="10"/>
      <c r="K453" s="11">
        <v>513</v>
      </c>
      <c r="L453" s="11">
        <v>3078</v>
      </c>
      <c r="M453" s="11"/>
      <c r="N453" s="11"/>
      <c r="O453" s="11">
        <v>334</v>
      </c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>
        <v>179</v>
      </c>
      <c r="AB453" s="11"/>
      <c r="AC453" s="11"/>
      <c r="AD453" s="11"/>
      <c r="AE453" s="11"/>
      <c r="AF453" s="11">
        <v>482</v>
      </c>
      <c r="AG453" s="11">
        <v>12</v>
      </c>
      <c r="AH453" s="11"/>
      <c r="AI453" s="11"/>
      <c r="AJ453" s="11"/>
      <c r="AK453" s="11"/>
      <c r="AL453" s="11">
        <v>19</v>
      </c>
      <c r="AM453" s="11"/>
      <c r="AN453" s="11"/>
      <c r="AO453" s="11"/>
      <c r="AP453" s="11">
        <v>390</v>
      </c>
      <c r="AQ453" s="11">
        <v>123</v>
      </c>
      <c r="AR453" s="11"/>
      <c r="AS453" s="11"/>
      <c r="AT453" s="11"/>
      <c r="AU453" s="11"/>
      <c r="AV453" s="11"/>
      <c r="AW453" s="20" t="str">
        <f>HYPERLINK("http://www.openstreetmap.org/?mlat=33.9092&amp;mlon=44.1835&amp;zoom=12#map=12/33.9092/44.1835","Maplink1")</f>
        <v>Maplink1</v>
      </c>
      <c r="AX453" s="20" t="str">
        <f>HYPERLINK("https://www.google.iq/maps/search/+33.9092,44.1835/@33.9092,44.1835,14z?hl=en","Maplink2")</f>
        <v>Maplink2</v>
      </c>
      <c r="AY453" s="20" t="str">
        <f>HYPERLINK("http://www.bing.com/maps/?lvl=14&amp;sty=h&amp;cp=33.9092~44.1835&amp;sp=point.33.9092_44.1835","Maplink3")</f>
        <v>Maplink3</v>
      </c>
    </row>
    <row r="454" spans="1:51" s="19" customFormat="1" x14ac:dyDescent="0.25">
      <c r="A454" s="9">
        <v>23300</v>
      </c>
      <c r="B454" s="10" t="s">
        <v>22</v>
      </c>
      <c r="C454" s="10" t="s">
        <v>1182</v>
      </c>
      <c r="D454" s="10" t="s">
        <v>1448</v>
      </c>
      <c r="E454" s="10" t="s">
        <v>1349</v>
      </c>
      <c r="F454" s="10">
        <v>35.440358000000003</v>
      </c>
      <c r="G454" s="10">
        <v>43.219168000000003</v>
      </c>
      <c r="H454" s="10" t="s">
        <v>612</v>
      </c>
      <c r="I454" s="10" t="s">
        <v>1183</v>
      </c>
      <c r="J454" s="10" t="s">
        <v>1350</v>
      </c>
      <c r="K454" s="11">
        <v>159</v>
      </c>
      <c r="L454" s="11">
        <v>954</v>
      </c>
      <c r="M454" s="11"/>
      <c r="N454" s="11"/>
      <c r="O454" s="11"/>
      <c r="P454" s="11"/>
      <c r="Q454" s="11"/>
      <c r="R454" s="11"/>
      <c r="S454" s="11">
        <v>39</v>
      </c>
      <c r="T454" s="11"/>
      <c r="U454" s="11">
        <v>25</v>
      </c>
      <c r="V454" s="11"/>
      <c r="W454" s="11"/>
      <c r="X454" s="11"/>
      <c r="Y454" s="11"/>
      <c r="Z454" s="11"/>
      <c r="AA454" s="11">
        <v>95</v>
      </c>
      <c r="AB454" s="11"/>
      <c r="AC454" s="11"/>
      <c r="AD454" s="11"/>
      <c r="AE454" s="11"/>
      <c r="AF454" s="11">
        <v>159</v>
      </c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>
        <v>49</v>
      </c>
      <c r="AR454" s="11">
        <v>110</v>
      </c>
      <c r="AS454" s="11"/>
      <c r="AT454" s="11"/>
      <c r="AU454" s="11"/>
      <c r="AV454" s="11"/>
      <c r="AW454" s="20" t="str">
        <f>HYPERLINK("http://www.openstreetmap.org/?mlat=35.4404&amp;mlon=43.2192&amp;zoom=12#map=12/35.4404/43.2192","Maplink1")</f>
        <v>Maplink1</v>
      </c>
      <c r="AX454" s="20" t="str">
        <f>HYPERLINK("https://www.google.iq/maps/search/+35.4404,43.2192/@35.4404,43.2192,14z?hl=en","Maplink2")</f>
        <v>Maplink2</v>
      </c>
      <c r="AY454" s="20" t="str">
        <f>HYPERLINK("http://www.bing.com/maps/?lvl=14&amp;sty=h&amp;cp=35.4404~43.2192&amp;sp=point.35.4404_43.2192","Maplink3")</f>
        <v>Maplink3</v>
      </c>
    </row>
    <row r="455" spans="1:51" s="19" customFormat="1" x14ac:dyDescent="0.25">
      <c r="A455" s="9">
        <v>21005</v>
      </c>
      <c r="B455" s="10" t="s">
        <v>22</v>
      </c>
      <c r="C455" s="10" t="s">
        <v>1182</v>
      </c>
      <c r="D455" s="10" t="s">
        <v>1351</v>
      </c>
      <c r="E455" s="10" t="s">
        <v>1352</v>
      </c>
      <c r="F455" s="10">
        <v>35.493077</v>
      </c>
      <c r="G455" s="10">
        <v>43.235813</v>
      </c>
      <c r="H455" s="10" t="s">
        <v>612</v>
      </c>
      <c r="I455" s="10" t="s">
        <v>1183</v>
      </c>
      <c r="J455" s="10" t="s">
        <v>1353</v>
      </c>
      <c r="K455" s="11">
        <v>600</v>
      </c>
      <c r="L455" s="11">
        <v>3600</v>
      </c>
      <c r="M455" s="11"/>
      <c r="N455" s="11"/>
      <c r="O455" s="11">
        <v>15</v>
      </c>
      <c r="P455" s="11"/>
      <c r="Q455" s="11"/>
      <c r="R455" s="11"/>
      <c r="S455" s="11">
        <v>85</v>
      </c>
      <c r="T455" s="11"/>
      <c r="U455" s="11">
        <v>154</v>
      </c>
      <c r="V455" s="11"/>
      <c r="W455" s="11"/>
      <c r="X455" s="11"/>
      <c r="Y455" s="11"/>
      <c r="Z455" s="11"/>
      <c r="AA455" s="11">
        <v>332</v>
      </c>
      <c r="AB455" s="11">
        <v>14</v>
      </c>
      <c r="AC455" s="11"/>
      <c r="AD455" s="11"/>
      <c r="AE455" s="11"/>
      <c r="AF455" s="11">
        <v>600</v>
      </c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>
        <v>320</v>
      </c>
      <c r="AR455" s="11">
        <v>280</v>
      </c>
      <c r="AS455" s="11"/>
      <c r="AT455" s="11"/>
      <c r="AU455" s="11"/>
      <c r="AV455" s="11"/>
      <c r="AW455" s="20" t="str">
        <f>HYPERLINK("http://www.openstreetmap.org/?mlat=35.4931&amp;mlon=43.2358&amp;zoom=12#map=12/35.4931/43.2358","Maplink1")</f>
        <v>Maplink1</v>
      </c>
      <c r="AX455" s="20" t="str">
        <f>HYPERLINK("https://www.google.iq/maps/search/+35.4931,43.2358/@35.4931,43.2358,14z?hl=en","Maplink2")</f>
        <v>Maplink2</v>
      </c>
      <c r="AY455" s="20" t="str">
        <f>HYPERLINK("http://www.bing.com/maps/?lvl=14&amp;sty=h&amp;cp=35.4931~43.2358&amp;sp=point.35.4931_43.2358","Maplink3")</f>
        <v>Maplink3</v>
      </c>
    </row>
    <row r="456" spans="1:51" x14ac:dyDescent="0.25">
      <c r="A456" s="9">
        <v>20392</v>
      </c>
      <c r="B456" s="10" t="s">
        <v>22</v>
      </c>
      <c r="C456" s="10" t="s">
        <v>1182</v>
      </c>
      <c r="D456" s="10" t="s">
        <v>1354</v>
      </c>
      <c r="E456" s="10" t="s">
        <v>1355</v>
      </c>
      <c r="F456" s="10">
        <v>35.610805999999997</v>
      </c>
      <c r="G456" s="10">
        <v>43.245241999999998</v>
      </c>
      <c r="H456" s="10" t="s">
        <v>612</v>
      </c>
      <c r="I456" s="10" t="s">
        <v>1183</v>
      </c>
      <c r="J456" s="10" t="s">
        <v>1356</v>
      </c>
      <c r="K456" s="11">
        <v>151</v>
      </c>
      <c r="L456" s="11">
        <v>906</v>
      </c>
      <c r="M456" s="11"/>
      <c r="N456" s="11"/>
      <c r="O456" s="11"/>
      <c r="P456" s="11"/>
      <c r="Q456" s="11"/>
      <c r="R456" s="11"/>
      <c r="S456" s="11">
        <v>21</v>
      </c>
      <c r="T456" s="11"/>
      <c r="U456" s="11">
        <v>27</v>
      </c>
      <c r="V456" s="11"/>
      <c r="W456" s="11"/>
      <c r="X456" s="11"/>
      <c r="Y456" s="11"/>
      <c r="Z456" s="11"/>
      <c r="AA456" s="11">
        <v>103</v>
      </c>
      <c r="AB456" s="11"/>
      <c r="AC456" s="11"/>
      <c r="AD456" s="11"/>
      <c r="AE456" s="11"/>
      <c r="AF456" s="11">
        <v>151</v>
      </c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>
        <v>100</v>
      </c>
      <c r="AR456" s="11">
        <v>51</v>
      </c>
      <c r="AS456" s="11"/>
      <c r="AT456" s="11"/>
      <c r="AU456" s="11"/>
      <c r="AV456" s="11"/>
      <c r="AW456" s="20" t="str">
        <f>HYPERLINK("http://www.openstreetmap.org/?mlat=35.6108&amp;mlon=43.2452&amp;zoom=12#map=12/35.6108/43.2452","Maplink1")</f>
        <v>Maplink1</v>
      </c>
      <c r="AX456" s="20" t="str">
        <f>HYPERLINK("https://www.google.iq/maps/search/+35.6108,43.2452/@35.6108,43.2452,14z?hl=en","Maplink2")</f>
        <v>Maplink2</v>
      </c>
      <c r="AY456" s="20" t="str">
        <f>HYPERLINK("http://www.bing.com/maps/?lvl=14&amp;sty=h&amp;cp=35.6108~43.2452&amp;sp=point.35.6108_43.2452","Maplink3")</f>
        <v>Maplink3</v>
      </c>
    </row>
    <row r="457" spans="1:51" x14ac:dyDescent="0.25">
      <c r="A457" s="9">
        <v>21002</v>
      </c>
      <c r="B457" s="10" t="s">
        <v>22</v>
      </c>
      <c r="C457" s="10" t="s">
        <v>1182</v>
      </c>
      <c r="D457" s="10" t="s">
        <v>1357</v>
      </c>
      <c r="E457" s="10" t="s">
        <v>1358</v>
      </c>
      <c r="F457" s="10">
        <v>35.392522</v>
      </c>
      <c r="G457" s="10">
        <v>43.259435000000003</v>
      </c>
      <c r="H457" s="10" t="s">
        <v>612</v>
      </c>
      <c r="I457" s="10" t="s">
        <v>1183</v>
      </c>
      <c r="J457" s="10" t="s">
        <v>1359</v>
      </c>
      <c r="K457" s="11">
        <v>145</v>
      </c>
      <c r="L457" s="11">
        <v>870</v>
      </c>
      <c r="M457" s="11"/>
      <c r="N457" s="11"/>
      <c r="O457" s="11"/>
      <c r="P457" s="11"/>
      <c r="Q457" s="11"/>
      <c r="R457" s="11"/>
      <c r="S457" s="11">
        <v>32</v>
      </c>
      <c r="T457" s="11"/>
      <c r="U457" s="11">
        <v>25</v>
      </c>
      <c r="V457" s="11"/>
      <c r="W457" s="11"/>
      <c r="X457" s="11"/>
      <c r="Y457" s="11"/>
      <c r="Z457" s="11"/>
      <c r="AA457" s="11">
        <v>88</v>
      </c>
      <c r="AB457" s="11"/>
      <c r="AC457" s="11"/>
      <c r="AD457" s="11"/>
      <c r="AE457" s="11"/>
      <c r="AF457" s="11">
        <v>145</v>
      </c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>
        <v>90</v>
      </c>
      <c r="AR457" s="11">
        <v>55</v>
      </c>
      <c r="AS457" s="11"/>
      <c r="AT457" s="11"/>
      <c r="AU457" s="11"/>
      <c r="AV457" s="11"/>
      <c r="AW457" s="20" t="str">
        <f>HYPERLINK("http://www.openstreetmap.org/?mlat=35.3925&amp;mlon=43.2594&amp;zoom=12#map=12/35.3925/43.2594","Maplink1")</f>
        <v>Maplink1</v>
      </c>
      <c r="AX457" s="20" t="str">
        <f>HYPERLINK("https://www.google.iq/maps/search/+35.3925,43.2594/@35.3925,43.2594,14z?hl=en","Maplink2")</f>
        <v>Maplink2</v>
      </c>
      <c r="AY457" s="20" t="str">
        <f>HYPERLINK("http://www.bing.com/maps/?lvl=14&amp;sty=h&amp;cp=35.3925~43.2594&amp;sp=point.35.3925_43.2594","Maplink3")</f>
        <v>Maplink3</v>
      </c>
    </row>
    <row r="458" spans="1:51" x14ac:dyDescent="0.25">
      <c r="A458" s="9">
        <v>24667</v>
      </c>
      <c r="B458" s="10" t="s">
        <v>22</v>
      </c>
      <c r="C458" s="10" t="s">
        <v>1182</v>
      </c>
      <c r="D458" s="10" t="s">
        <v>1360</v>
      </c>
      <c r="E458" s="10" t="s">
        <v>1449</v>
      </c>
      <c r="F458" s="10">
        <v>35.474212999999999</v>
      </c>
      <c r="G458" s="10">
        <v>43.239139999999999</v>
      </c>
      <c r="H458" s="10" t="s">
        <v>612</v>
      </c>
      <c r="I458" s="10" t="s">
        <v>1183</v>
      </c>
      <c r="J458" s="10"/>
      <c r="K458" s="11">
        <v>95</v>
      </c>
      <c r="L458" s="11">
        <v>570</v>
      </c>
      <c r="M458" s="11"/>
      <c r="N458" s="11"/>
      <c r="O458" s="11"/>
      <c r="P458" s="11"/>
      <c r="Q458" s="11"/>
      <c r="R458" s="11"/>
      <c r="S458" s="11">
        <v>18</v>
      </c>
      <c r="T458" s="11"/>
      <c r="U458" s="11"/>
      <c r="V458" s="11"/>
      <c r="W458" s="11"/>
      <c r="X458" s="11"/>
      <c r="Y458" s="11"/>
      <c r="Z458" s="11"/>
      <c r="AA458" s="11">
        <v>77</v>
      </c>
      <c r="AB458" s="11"/>
      <c r="AC458" s="11"/>
      <c r="AD458" s="11"/>
      <c r="AE458" s="11"/>
      <c r="AF458" s="11">
        <v>95</v>
      </c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>
        <v>95</v>
      </c>
      <c r="AR458" s="11"/>
      <c r="AS458" s="11"/>
      <c r="AT458" s="11"/>
      <c r="AU458" s="11"/>
      <c r="AV458" s="11"/>
      <c r="AW458" s="20" t="str">
        <f>HYPERLINK("http://www.openstreetmap.org/?mlat=35.4742&amp;mlon=43.2391&amp;zoom=12#map=12/35.4742/43.2391","Maplink1")</f>
        <v>Maplink1</v>
      </c>
      <c r="AX458" s="20" t="str">
        <f>HYPERLINK("https://www.google.iq/maps/search/+35.4742,43.2391/@35.4742,43.2391,14z?hl=en","Maplink2")</f>
        <v>Maplink2</v>
      </c>
      <c r="AY458" s="20" t="str">
        <f>HYPERLINK("http://www.bing.com/maps/?lvl=14&amp;sty=h&amp;cp=35.4742~43.2391&amp;sp=point.35.4742_43.2391","Maplink3")</f>
        <v>Maplink3</v>
      </c>
    </row>
    <row r="459" spans="1:51" x14ac:dyDescent="0.25">
      <c r="A459" s="9">
        <v>20389</v>
      </c>
      <c r="B459" s="10" t="s">
        <v>22</v>
      </c>
      <c r="C459" s="10" t="s">
        <v>1182</v>
      </c>
      <c r="D459" s="10" t="s">
        <v>1361</v>
      </c>
      <c r="E459" s="10" t="s">
        <v>1450</v>
      </c>
      <c r="F459" s="10">
        <v>35.628256</v>
      </c>
      <c r="G459" s="10">
        <v>43.229315</v>
      </c>
      <c r="H459" s="10" t="s">
        <v>612</v>
      </c>
      <c r="I459" s="10" t="s">
        <v>1183</v>
      </c>
      <c r="J459" s="10" t="s">
        <v>1362</v>
      </c>
      <c r="K459" s="11">
        <v>211</v>
      </c>
      <c r="L459" s="11">
        <v>1266</v>
      </c>
      <c r="M459" s="11"/>
      <c r="N459" s="11"/>
      <c r="O459" s="11"/>
      <c r="P459" s="11"/>
      <c r="Q459" s="11"/>
      <c r="R459" s="11"/>
      <c r="S459" s="11">
        <v>17</v>
      </c>
      <c r="T459" s="11"/>
      <c r="U459" s="11">
        <v>40</v>
      </c>
      <c r="V459" s="11"/>
      <c r="W459" s="11"/>
      <c r="X459" s="11"/>
      <c r="Y459" s="11"/>
      <c r="Z459" s="11"/>
      <c r="AA459" s="11">
        <v>154</v>
      </c>
      <c r="AB459" s="11"/>
      <c r="AC459" s="11"/>
      <c r="AD459" s="11"/>
      <c r="AE459" s="11"/>
      <c r="AF459" s="11">
        <v>211</v>
      </c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>
        <v>111</v>
      </c>
      <c r="AR459" s="11">
        <v>100</v>
      </c>
      <c r="AS459" s="11"/>
      <c r="AT459" s="11"/>
      <c r="AU459" s="11"/>
      <c r="AV459" s="11"/>
      <c r="AW459" s="20" t="str">
        <f>HYPERLINK("http://www.openstreetmap.org/?mlat=35.6283&amp;mlon=43.2293&amp;zoom=12#map=12/35.6283/43.2293","Maplink1")</f>
        <v>Maplink1</v>
      </c>
      <c r="AX459" s="20" t="str">
        <f>HYPERLINK("https://www.google.iq/maps/search/+35.6283,43.2293/@35.6283,43.2293,14z?hl=en","Maplink2")</f>
        <v>Maplink2</v>
      </c>
      <c r="AY459" s="20" t="str">
        <f>HYPERLINK("http://www.bing.com/maps/?lvl=14&amp;sty=h&amp;cp=35.6283~43.2293&amp;sp=point.35.6283_43.2293","Maplink3")</f>
        <v>Maplink3</v>
      </c>
    </row>
    <row r="460" spans="1:51" x14ac:dyDescent="0.25">
      <c r="A460" s="9">
        <v>29650</v>
      </c>
      <c r="B460" s="10" t="s">
        <v>22</v>
      </c>
      <c r="C460" s="10" t="s">
        <v>1182</v>
      </c>
      <c r="D460" s="10" t="s">
        <v>1363</v>
      </c>
      <c r="E460" s="10" t="s">
        <v>1364</v>
      </c>
      <c r="F460" s="10">
        <v>35.591273000000001</v>
      </c>
      <c r="G460" s="10">
        <v>43.240076000000002</v>
      </c>
      <c r="H460" s="10" t="s">
        <v>612</v>
      </c>
      <c r="I460" s="10" t="s">
        <v>1183</v>
      </c>
      <c r="J460" s="10"/>
      <c r="K460" s="11">
        <v>243</v>
      </c>
      <c r="L460" s="11">
        <v>1458</v>
      </c>
      <c r="M460" s="11"/>
      <c r="N460" s="11"/>
      <c r="O460" s="11">
        <v>24</v>
      </c>
      <c r="P460" s="11">
        <v>8</v>
      </c>
      <c r="Q460" s="11"/>
      <c r="R460" s="11"/>
      <c r="S460" s="11">
        <v>38</v>
      </c>
      <c r="T460" s="11"/>
      <c r="U460" s="11">
        <v>86</v>
      </c>
      <c r="V460" s="11"/>
      <c r="W460" s="11"/>
      <c r="X460" s="11"/>
      <c r="Y460" s="11"/>
      <c r="Z460" s="11"/>
      <c r="AA460" s="11">
        <v>80</v>
      </c>
      <c r="AB460" s="11">
        <v>7</v>
      </c>
      <c r="AC460" s="11"/>
      <c r="AD460" s="11"/>
      <c r="AE460" s="11"/>
      <c r="AF460" s="11">
        <v>243</v>
      </c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>
        <v>133</v>
      </c>
      <c r="AR460" s="11">
        <v>110</v>
      </c>
      <c r="AS460" s="11"/>
      <c r="AT460" s="11"/>
      <c r="AU460" s="11"/>
      <c r="AV460" s="11"/>
      <c r="AW460" s="20" t="str">
        <f>HYPERLINK("http://www.openstreetmap.org/?mlat=35.5913&amp;mlon=43.2401&amp;zoom=12#map=12/35.5913/43.2401","Maplink1")</f>
        <v>Maplink1</v>
      </c>
      <c r="AX460" s="20" t="str">
        <f>HYPERLINK("https://www.google.iq/maps/search/+35.5913,43.2401/@35.5913,43.2401,14z?hl=en","Maplink2")</f>
        <v>Maplink2</v>
      </c>
      <c r="AY460" s="20" t="str">
        <f>HYPERLINK("http://www.bing.com/maps/?lvl=14&amp;sty=h&amp;cp=35.5913~43.2401&amp;sp=point.35.5913_43.2401","Maplink3")</f>
        <v>Maplink3</v>
      </c>
    </row>
    <row r="461" spans="1:51" x14ac:dyDescent="0.25">
      <c r="A461" s="9">
        <v>29664</v>
      </c>
      <c r="B461" s="10" t="s">
        <v>22</v>
      </c>
      <c r="C461" s="10" t="s">
        <v>1182</v>
      </c>
      <c r="D461" s="10" t="s">
        <v>1365</v>
      </c>
      <c r="E461" s="10" t="s">
        <v>1366</v>
      </c>
      <c r="F461" s="10">
        <v>35.413449999999997</v>
      </c>
      <c r="G461" s="10">
        <v>43.198565000000002</v>
      </c>
      <c r="H461" s="10" t="s">
        <v>612</v>
      </c>
      <c r="I461" s="10" t="s">
        <v>1183</v>
      </c>
      <c r="J461" s="10"/>
      <c r="K461" s="11">
        <v>75</v>
      </c>
      <c r="L461" s="11">
        <v>450</v>
      </c>
      <c r="M461" s="11"/>
      <c r="N461" s="11"/>
      <c r="O461" s="11"/>
      <c r="P461" s="11"/>
      <c r="Q461" s="11"/>
      <c r="R461" s="11"/>
      <c r="S461" s="11">
        <v>20</v>
      </c>
      <c r="T461" s="11"/>
      <c r="U461" s="11"/>
      <c r="V461" s="11"/>
      <c r="W461" s="11"/>
      <c r="X461" s="11"/>
      <c r="Y461" s="11"/>
      <c r="Z461" s="11"/>
      <c r="AA461" s="11">
        <v>55</v>
      </c>
      <c r="AB461" s="11"/>
      <c r="AC461" s="11"/>
      <c r="AD461" s="11"/>
      <c r="AE461" s="11"/>
      <c r="AF461" s="11">
        <v>75</v>
      </c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>
        <v>50</v>
      </c>
      <c r="AR461" s="11">
        <v>25</v>
      </c>
      <c r="AS461" s="11"/>
      <c r="AT461" s="11"/>
      <c r="AU461" s="11"/>
      <c r="AV461" s="11"/>
      <c r="AW461" s="20" t="str">
        <f>HYPERLINK("http://www.openstreetmap.org/?mlat=35.4134&amp;mlon=43.1986&amp;zoom=12#map=12/35.4134/43.1986","Maplink1")</f>
        <v>Maplink1</v>
      </c>
      <c r="AX461" s="20" t="str">
        <f>HYPERLINK("https://www.google.iq/maps/search/+35.4134,43.1986/@35.4134,43.1986,14z?hl=en","Maplink2")</f>
        <v>Maplink2</v>
      </c>
      <c r="AY461" s="20" t="str">
        <f>HYPERLINK("http://www.bing.com/maps/?lvl=14&amp;sty=h&amp;cp=35.4134~43.1986&amp;sp=point.35.4134_43.1986","Maplink3")</f>
        <v>Maplink3</v>
      </c>
    </row>
    <row r="462" spans="1:51" x14ac:dyDescent="0.25">
      <c r="A462" s="9">
        <v>21955</v>
      </c>
      <c r="B462" s="10" t="s">
        <v>22</v>
      </c>
      <c r="C462" s="10" t="s">
        <v>1182</v>
      </c>
      <c r="D462" s="10" t="s">
        <v>1367</v>
      </c>
      <c r="E462" s="10" t="s">
        <v>1368</v>
      </c>
      <c r="F462" s="10">
        <v>35.483874</v>
      </c>
      <c r="G462" s="10">
        <v>43.239254000000003</v>
      </c>
      <c r="H462" s="10" t="s">
        <v>612</v>
      </c>
      <c r="I462" s="10" t="s">
        <v>1183</v>
      </c>
      <c r="J462" s="10" t="s">
        <v>1369</v>
      </c>
      <c r="K462" s="11">
        <v>400</v>
      </c>
      <c r="L462" s="11">
        <v>2400</v>
      </c>
      <c r="M462" s="11"/>
      <c r="N462" s="11"/>
      <c r="O462" s="11">
        <v>7</v>
      </c>
      <c r="P462" s="11">
        <v>18</v>
      </c>
      <c r="Q462" s="11"/>
      <c r="R462" s="11"/>
      <c r="S462" s="11">
        <v>69</v>
      </c>
      <c r="T462" s="11"/>
      <c r="U462" s="11">
        <v>104</v>
      </c>
      <c r="V462" s="11"/>
      <c r="W462" s="11"/>
      <c r="X462" s="11"/>
      <c r="Y462" s="11"/>
      <c r="Z462" s="11"/>
      <c r="AA462" s="11">
        <v>200</v>
      </c>
      <c r="AB462" s="11">
        <v>2</v>
      </c>
      <c r="AC462" s="11"/>
      <c r="AD462" s="11"/>
      <c r="AE462" s="11"/>
      <c r="AF462" s="11">
        <v>400</v>
      </c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>
        <v>300</v>
      </c>
      <c r="AR462" s="11">
        <v>100</v>
      </c>
      <c r="AS462" s="11"/>
      <c r="AT462" s="11"/>
      <c r="AU462" s="11"/>
      <c r="AV462" s="11"/>
      <c r="AW462" s="20" t="str">
        <f>HYPERLINK("http://www.openstreetmap.org/?mlat=35.4839&amp;mlon=43.2393&amp;zoom=12#map=12/35.4839/43.2393","Maplink1")</f>
        <v>Maplink1</v>
      </c>
      <c r="AX462" s="20" t="str">
        <f>HYPERLINK("https://www.google.iq/maps/search/+35.4839,43.2393/@35.4839,43.2393,14z?hl=en","Maplink2")</f>
        <v>Maplink2</v>
      </c>
      <c r="AY462" s="20" t="str">
        <f>HYPERLINK("http://www.bing.com/maps/?lvl=14&amp;sty=h&amp;cp=35.4839~43.2393&amp;sp=point.35.4839_43.2393","Maplink3")</f>
        <v>Maplink3</v>
      </c>
    </row>
    <row r="463" spans="1:51" x14ac:dyDescent="0.25">
      <c r="A463" s="9">
        <v>21347</v>
      </c>
      <c r="B463" s="10" t="s">
        <v>22</v>
      </c>
      <c r="C463" s="10" t="s">
        <v>1182</v>
      </c>
      <c r="D463" s="10" t="s">
        <v>1370</v>
      </c>
      <c r="E463" s="10" t="s">
        <v>1371</v>
      </c>
      <c r="F463" s="10">
        <v>35.404465000000002</v>
      </c>
      <c r="G463" s="10">
        <v>43.215980999999999</v>
      </c>
      <c r="H463" s="10" t="s">
        <v>612</v>
      </c>
      <c r="I463" s="10" t="s">
        <v>1183</v>
      </c>
      <c r="J463" s="10" t="s">
        <v>1372</v>
      </c>
      <c r="K463" s="11">
        <v>114</v>
      </c>
      <c r="L463" s="11">
        <v>684</v>
      </c>
      <c r="M463" s="11"/>
      <c r="N463" s="11"/>
      <c r="O463" s="11"/>
      <c r="P463" s="11"/>
      <c r="Q463" s="11"/>
      <c r="R463" s="11"/>
      <c r="S463" s="11">
        <v>23</v>
      </c>
      <c r="T463" s="11"/>
      <c r="U463" s="11">
        <v>14</v>
      </c>
      <c r="V463" s="11"/>
      <c r="W463" s="11"/>
      <c r="X463" s="11"/>
      <c r="Y463" s="11"/>
      <c r="Z463" s="11"/>
      <c r="AA463" s="11">
        <v>77</v>
      </c>
      <c r="AB463" s="11"/>
      <c r="AC463" s="11"/>
      <c r="AD463" s="11"/>
      <c r="AE463" s="11"/>
      <c r="AF463" s="11">
        <v>114</v>
      </c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>
        <v>114</v>
      </c>
      <c r="AR463" s="11"/>
      <c r="AS463" s="11"/>
      <c r="AT463" s="11"/>
      <c r="AU463" s="11"/>
      <c r="AV463" s="11"/>
      <c r="AW463" s="20" t="str">
        <f>HYPERLINK("http://www.openstreetmap.org/?mlat=35.4045&amp;mlon=43.216&amp;zoom=12#map=12/35.4045/43.216","Maplink1")</f>
        <v>Maplink1</v>
      </c>
      <c r="AX463" s="20" t="str">
        <f>HYPERLINK("https://www.google.iq/maps/search/+35.4045,43.216/@35.4045,43.216,14z?hl=en","Maplink2")</f>
        <v>Maplink2</v>
      </c>
      <c r="AY463" s="20" t="str">
        <f>HYPERLINK("http://www.bing.com/maps/?lvl=14&amp;sty=h&amp;cp=35.4045~43.216&amp;sp=point.35.4045_43.216","Maplink3")</f>
        <v>Maplink3</v>
      </c>
    </row>
    <row r="464" spans="1:51" x14ac:dyDescent="0.25">
      <c r="A464" s="9">
        <v>29651</v>
      </c>
      <c r="B464" s="10" t="s">
        <v>22</v>
      </c>
      <c r="C464" s="10" t="s">
        <v>1182</v>
      </c>
      <c r="D464" s="10" t="s">
        <v>1373</v>
      </c>
      <c r="E464" s="10" t="s">
        <v>229</v>
      </c>
      <c r="F464" s="10">
        <v>35.432485999999997</v>
      </c>
      <c r="G464" s="10">
        <v>43.228507999999998</v>
      </c>
      <c r="H464" s="10" t="s">
        <v>612</v>
      </c>
      <c r="I464" s="10" t="s">
        <v>1183</v>
      </c>
      <c r="J464" s="10"/>
      <c r="K464" s="11">
        <v>73</v>
      </c>
      <c r="L464" s="11">
        <v>438</v>
      </c>
      <c r="M464" s="11"/>
      <c r="N464" s="11"/>
      <c r="O464" s="11"/>
      <c r="P464" s="11"/>
      <c r="Q464" s="11"/>
      <c r="R464" s="11"/>
      <c r="S464" s="11">
        <v>25</v>
      </c>
      <c r="T464" s="11"/>
      <c r="U464" s="11">
        <v>7</v>
      </c>
      <c r="V464" s="11"/>
      <c r="W464" s="11"/>
      <c r="X464" s="11"/>
      <c r="Y464" s="11"/>
      <c r="Z464" s="11"/>
      <c r="AA464" s="11">
        <v>41</v>
      </c>
      <c r="AB464" s="11"/>
      <c r="AC464" s="11"/>
      <c r="AD464" s="11"/>
      <c r="AE464" s="11"/>
      <c r="AF464" s="11">
        <v>73</v>
      </c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>
        <v>33</v>
      </c>
      <c r="AR464" s="11">
        <v>40</v>
      </c>
      <c r="AS464" s="11"/>
      <c r="AT464" s="11"/>
      <c r="AU464" s="11"/>
      <c r="AV464" s="11"/>
      <c r="AW464" s="20" t="str">
        <f>HYPERLINK("http://www.openstreetmap.org/?mlat=35.4325&amp;mlon=43.2285&amp;zoom=12#map=12/35.4325/43.2285","Maplink1")</f>
        <v>Maplink1</v>
      </c>
      <c r="AX464" s="20" t="str">
        <f>HYPERLINK("https://www.google.iq/maps/search/+35.4325,43.2285/@35.4325,43.2285,14z?hl=en","Maplink2")</f>
        <v>Maplink2</v>
      </c>
      <c r="AY464" s="20" t="str">
        <f>HYPERLINK("http://www.bing.com/maps/?lvl=14&amp;sty=h&amp;cp=35.4325~43.2285&amp;sp=point.35.4325_43.2285","Maplink3")</f>
        <v>Maplink3</v>
      </c>
    </row>
    <row r="465" spans="1:51" x14ac:dyDescent="0.25">
      <c r="A465" s="9">
        <v>29653</v>
      </c>
      <c r="B465" s="10" t="s">
        <v>22</v>
      </c>
      <c r="C465" s="10" t="s">
        <v>1182</v>
      </c>
      <c r="D465" s="10" t="s">
        <v>1374</v>
      </c>
      <c r="E465" s="10" t="s">
        <v>1375</v>
      </c>
      <c r="F465" s="10">
        <v>35.526406000000001</v>
      </c>
      <c r="G465" s="10">
        <v>43.237721000000001</v>
      </c>
      <c r="H465" s="10" t="s">
        <v>612</v>
      </c>
      <c r="I465" s="10" t="s">
        <v>1183</v>
      </c>
      <c r="J465" s="10"/>
      <c r="K465" s="11">
        <v>115</v>
      </c>
      <c r="L465" s="11">
        <v>690</v>
      </c>
      <c r="M465" s="11"/>
      <c r="N465" s="11"/>
      <c r="O465" s="11"/>
      <c r="P465" s="11"/>
      <c r="Q465" s="11"/>
      <c r="R465" s="11"/>
      <c r="S465" s="11">
        <v>22</v>
      </c>
      <c r="T465" s="11"/>
      <c r="U465" s="11">
        <v>22</v>
      </c>
      <c r="V465" s="11"/>
      <c r="W465" s="11"/>
      <c r="X465" s="11"/>
      <c r="Y465" s="11"/>
      <c r="Z465" s="11"/>
      <c r="AA465" s="11">
        <v>67</v>
      </c>
      <c r="AB465" s="11">
        <v>4</v>
      </c>
      <c r="AC465" s="11"/>
      <c r="AD465" s="11"/>
      <c r="AE465" s="11"/>
      <c r="AF465" s="11">
        <v>115</v>
      </c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>
        <v>100</v>
      </c>
      <c r="AR465" s="11">
        <v>15</v>
      </c>
      <c r="AS465" s="11"/>
      <c r="AT465" s="11"/>
      <c r="AU465" s="11"/>
      <c r="AV465" s="11"/>
      <c r="AW465" s="20" t="str">
        <f>HYPERLINK("http://www.openstreetmap.org/?mlat=35.5264&amp;mlon=43.2377&amp;zoom=12#map=12/35.5264/43.2377","Maplink1")</f>
        <v>Maplink1</v>
      </c>
      <c r="AX465" s="20" t="str">
        <f>HYPERLINK("https://www.google.iq/maps/search/+35.5264,43.2377/@35.5264,43.2377,14z?hl=en","Maplink2")</f>
        <v>Maplink2</v>
      </c>
      <c r="AY465" s="20" t="str">
        <f>HYPERLINK("http://www.bing.com/maps/?lvl=14&amp;sty=h&amp;cp=35.5264~43.2377&amp;sp=point.35.5264_43.2377","Maplink3")</f>
        <v>Maplink3</v>
      </c>
    </row>
    <row r="466" spans="1:51" x14ac:dyDescent="0.25">
      <c r="A466" s="9">
        <v>21349</v>
      </c>
      <c r="B466" s="10" t="s">
        <v>22</v>
      </c>
      <c r="C466" s="10" t="s">
        <v>1182</v>
      </c>
      <c r="D466" s="10" t="s">
        <v>1376</v>
      </c>
      <c r="E466" s="10" t="s">
        <v>1377</v>
      </c>
      <c r="F466" s="10">
        <v>35.621825000000001</v>
      </c>
      <c r="G466" s="10">
        <v>43.246053000000003</v>
      </c>
      <c r="H466" s="10" t="s">
        <v>612</v>
      </c>
      <c r="I466" s="10" t="s">
        <v>1183</v>
      </c>
      <c r="J466" s="10" t="s">
        <v>1378</v>
      </c>
      <c r="K466" s="11">
        <v>233</v>
      </c>
      <c r="L466" s="11">
        <v>1398</v>
      </c>
      <c r="M466" s="11"/>
      <c r="N466" s="11"/>
      <c r="O466" s="11"/>
      <c r="P466" s="11"/>
      <c r="Q466" s="11"/>
      <c r="R466" s="11"/>
      <c r="S466" s="11">
        <v>35</v>
      </c>
      <c r="T466" s="11"/>
      <c r="U466" s="11">
        <v>25</v>
      </c>
      <c r="V466" s="11"/>
      <c r="W466" s="11"/>
      <c r="X466" s="11"/>
      <c r="Y466" s="11"/>
      <c r="Z466" s="11"/>
      <c r="AA466" s="11">
        <v>173</v>
      </c>
      <c r="AB466" s="11"/>
      <c r="AC466" s="11"/>
      <c r="AD466" s="11"/>
      <c r="AE466" s="11"/>
      <c r="AF466" s="11">
        <v>233</v>
      </c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>
        <v>233</v>
      </c>
      <c r="AR466" s="11"/>
      <c r="AS466" s="11"/>
      <c r="AT466" s="11"/>
      <c r="AU466" s="11"/>
      <c r="AV466" s="11"/>
      <c r="AW466" s="20" t="str">
        <f>HYPERLINK("http://www.openstreetmap.org/?mlat=35.6218&amp;mlon=43.2461&amp;zoom=12#map=12/35.6218/43.2461","Maplink1")</f>
        <v>Maplink1</v>
      </c>
      <c r="AX466" s="20" t="str">
        <f>HYPERLINK("https://www.google.iq/maps/search/+35.6218,43.2461/@35.6218,43.2461,14z?hl=en","Maplink2")</f>
        <v>Maplink2</v>
      </c>
      <c r="AY466" s="20" t="str">
        <f>HYPERLINK("http://www.bing.com/maps/?lvl=14&amp;sty=h&amp;cp=35.6218~43.2461&amp;sp=point.35.6218_43.2461","Maplink3")</f>
        <v>Maplink3</v>
      </c>
    </row>
    <row r="467" spans="1:51" x14ac:dyDescent="0.25">
      <c r="A467" s="9">
        <v>20395</v>
      </c>
      <c r="B467" s="10" t="s">
        <v>22</v>
      </c>
      <c r="C467" s="10" t="s">
        <v>1182</v>
      </c>
      <c r="D467" s="10" t="s">
        <v>1379</v>
      </c>
      <c r="E467" s="10" t="s">
        <v>1380</v>
      </c>
      <c r="F467" s="10">
        <v>35.538307000000003</v>
      </c>
      <c r="G467" s="10">
        <v>43.224873000000002</v>
      </c>
      <c r="H467" s="10" t="s">
        <v>612</v>
      </c>
      <c r="I467" s="10" t="s">
        <v>1183</v>
      </c>
      <c r="J467" s="10" t="s">
        <v>1381</v>
      </c>
      <c r="K467" s="11">
        <v>228</v>
      </c>
      <c r="L467" s="11">
        <v>1368</v>
      </c>
      <c r="M467" s="11"/>
      <c r="N467" s="11"/>
      <c r="O467" s="11">
        <v>6</v>
      </c>
      <c r="P467" s="11">
        <v>10</v>
      </c>
      <c r="Q467" s="11">
        <v>4</v>
      </c>
      <c r="R467" s="11"/>
      <c r="S467" s="11">
        <v>79</v>
      </c>
      <c r="T467" s="11"/>
      <c r="U467" s="11">
        <v>36</v>
      </c>
      <c r="V467" s="11"/>
      <c r="W467" s="11"/>
      <c r="X467" s="11"/>
      <c r="Y467" s="11"/>
      <c r="Z467" s="11"/>
      <c r="AA467" s="11">
        <v>91</v>
      </c>
      <c r="AB467" s="11">
        <v>2</v>
      </c>
      <c r="AC467" s="11"/>
      <c r="AD467" s="11"/>
      <c r="AE467" s="11"/>
      <c r="AF467" s="11">
        <v>228</v>
      </c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>
        <v>128</v>
      </c>
      <c r="AR467" s="11">
        <v>100</v>
      </c>
      <c r="AS467" s="11"/>
      <c r="AT467" s="11"/>
      <c r="AU467" s="11"/>
      <c r="AV467" s="11"/>
      <c r="AW467" s="20" t="str">
        <f>HYPERLINK("http://www.openstreetmap.org/?mlat=35.5383&amp;mlon=43.2249&amp;zoom=12#map=12/35.5383/43.2249","Maplink1")</f>
        <v>Maplink1</v>
      </c>
      <c r="AX467" s="20" t="str">
        <f>HYPERLINK("https://www.google.iq/maps/search/+35.5383,43.2249/@35.5383,43.2249,14z?hl=en","Maplink2")</f>
        <v>Maplink2</v>
      </c>
      <c r="AY467" s="20" t="str">
        <f>HYPERLINK("http://www.bing.com/maps/?lvl=14&amp;sty=h&amp;cp=35.5383~43.2249&amp;sp=point.35.5383_43.2249","Maplink3")</f>
        <v>Maplink3</v>
      </c>
    </row>
    <row r="468" spans="1:51" x14ac:dyDescent="0.25">
      <c r="A468" s="9">
        <v>21004</v>
      </c>
      <c r="B468" s="10" t="s">
        <v>22</v>
      </c>
      <c r="C468" s="10" t="s">
        <v>1182</v>
      </c>
      <c r="D468" s="10" t="s">
        <v>1004</v>
      </c>
      <c r="E468" s="10" t="s">
        <v>108</v>
      </c>
      <c r="F468" s="10">
        <v>35.530934000000002</v>
      </c>
      <c r="G468" s="10">
        <v>43.226177999999997</v>
      </c>
      <c r="H468" s="10" t="s">
        <v>612</v>
      </c>
      <c r="I468" s="10" t="s">
        <v>1183</v>
      </c>
      <c r="J468" s="10" t="s">
        <v>1382</v>
      </c>
      <c r="K468" s="11">
        <v>275</v>
      </c>
      <c r="L468" s="11">
        <v>1650</v>
      </c>
      <c r="M468" s="11"/>
      <c r="N468" s="11"/>
      <c r="O468" s="11">
        <v>4</v>
      </c>
      <c r="P468" s="11">
        <v>10</v>
      </c>
      <c r="Q468" s="11">
        <v>13</v>
      </c>
      <c r="R468" s="11"/>
      <c r="S468" s="11">
        <v>49</v>
      </c>
      <c r="T468" s="11"/>
      <c r="U468" s="11">
        <v>103</v>
      </c>
      <c r="V468" s="11"/>
      <c r="W468" s="11"/>
      <c r="X468" s="11"/>
      <c r="Y468" s="11"/>
      <c r="Z468" s="11"/>
      <c r="AA468" s="11">
        <v>90</v>
      </c>
      <c r="AB468" s="11">
        <v>6</v>
      </c>
      <c r="AC468" s="11"/>
      <c r="AD468" s="11"/>
      <c r="AE468" s="11"/>
      <c r="AF468" s="11">
        <v>275</v>
      </c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>
        <v>175</v>
      </c>
      <c r="AR468" s="11">
        <v>100</v>
      </c>
      <c r="AS468" s="11"/>
      <c r="AT468" s="11"/>
      <c r="AU468" s="11"/>
      <c r="AV468" s="11"/>
      <c r="AW468" s="20" t="str">
        <f>HYPERLINK("http://www.openstreetmap.org/?mlat=35.5309&amp;mlon=43.2262&amp;zoom=12#map=12/35.5309/43.2262","Maplink1")</f>
        <v>Maplink1</v>
      </c>
      <c r="AX468" s="20" t="str">
        <f>HYPERLINK("https://www.google.iq/maps/search/+35.5309,43.2262/@35.5309,43.2262,14z?hl=en","Maplink2")</f>
        <v>Maplink2</v>
      </c>
      <c r="AY468" s="20" t="str">
        <f>HYPERLINK("http://www.bing.com/maps/?lvl=14&amp;sty=h&amp;cp=35.5309~43.2262&amp;sp=point.35.5309_43.2262","Maplink3")</f>
        <v>Maplink3</v>
      </c>
    </row>
    <row r="469" spans="1:51" x14ac:dyDescent="0.25">
      <c r="A469" s="9">
        <v>24210</v>
      </c>
      <c r="B469" s="10" t="s">
        <v>22</v>
      </c>
      <c r="C469" s="10" t="s">
        <v>1182</v>
      </c>
      <c r="D469" s="10" t="s">
        <v>1383</v>
      </c>
      <c r="E469" s="10" t="s">
        <v>1384</v>
      </c>
      <c r="F469" s="10">
        <v>35.518799999999999</v>
      </c>
      <c r="G469" s="10">
        <v>43.2271</v>
      </c>
      <c r="H469" s="10" t="s">
        <v>612</v>
      </c>
      <c r="I469" s="10" t="s">
        <v>1183</v>
      </c>
      <c r="J469" s="10" t="s">
        <v>1385</v>
      </c>
      <c r="K469" s="11">
        <v>189</v>
      </c>
      <c r="L469" s="11">
        <v>1134</v>
      </c>
      <c r="M469" s="11"/>
      <c r="N469" s="11"/>
      <c r="O469" s="11"/>
      <c r="P469" s="11"/>
      <c r="Q469" s="11"/>
      <c r="R469" s="11"/>
      <c r="S469" s="11">
        <v>22</v>
      </c>
      <c r="T469" s="11"/>
      <c r="U469" s="11">
        <v>63</v>
      </c>
      <c r="V469" s="11"/>
      <c r="W469" s="11"/>
      <c r="X469" s="11"/>
      <c r="Y469" s="11"/>
      <c r="Z469" s="11"/>
      <c r="AA469" s="11">
        <v>99</v>
      </c>
      <c r="AB469" s="11">
        <v>5</v>
      </c>
      <c r="AC469" s="11"/>
      <c r="AD469" s="11"/>
      <c r="AE469" s="11"/>
      <c r="AF469" s="11">
        <v>189</v>
      </c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>
        <v>100</v>
      </c>
      <c r="AR469" s="11">
        <v>89</v>
      </c>
      <c r="AS469" s="11"/>
      <c r="AT469" s="11"/>
      <c r="AU469" s="11"/>
      <c r="AV469" s="11"/>
      <c r="AW469" s="20" t="str">
        <f>HYPERLINK("http://www.openstreetmap.org/?mlat=35.5188&amp;mlon=43.2271&amp;zoom=12#map=12/35.5188/43.2271","Maplink1")</f>
        <v>Maplink1</v>
      </c>
      <c r="AX469" s="20" t="str">
        <f>HYPERLINK("https://www.google.iq/maps/search/+35.5188,43.2271/@35.5188,43.2271,14z?hl=en","Maplink2")</f>
        <v>Maplink2</v>
      </c>
      <c r="AY469" s="20" t="str">
        <f>HYPERLINK("http://www.bing.com/maps/?lvl=14&amp;sty=h&amp;cp=35.5188~43.2271&amp;sp=point.35.5188_43.2271","Maplink3")</f>
        <v>Maplink3</v>
      </c>
    </row>
    <row r="470" spans="1:51" x14ac:dyDescent="0.25">
      <c r="A470" s="9">
        <v>29654</v>
      </c>
      <c r="B470" s="10" t="s">
        <v>22</v>
      </c>
      <c r="C470" s="10" t="s">
        <v>1182</v>
      </c>
      <c r="D470" s="10" t="s">
        <v>1386</v>
      </c>
      <c r="E470" s="10" t="s">
        <v>1387</v>
      </c>
      <c r="F470" s="10">
        <v>35.517139999999998</v>
      </c>
      <c r="G470" s="10">
        <v>43.235768</v>
      </c>
      <c r="H470" s="10" t="s">
        <v>612</v>
      </c>
      <c r="I470" s="10" t="s">
        <v>1183</v>
      </c>
      <c r="J470" s="10"/>
      <c r="K470" s="11">
        <v>155</v>
      </c>
      <c r="L470" s="11">
        <v>930</v>
      </c>
      <c r="M470" s="11"/>
      <c r="N470" s="11"/>
      <c r="O470" s="11"/>
      <c r="P470" s="11"/>
      <c r="Q470" s="11"/>
      <c r="R470" s="11"/>
      <c r="S470" s="11">
        <v>40</v>
      </c>
      <c r="T470" s="11"/>
      <c r="U470" s="11">
        <v>20</v>
      </c>
      <c r="V470" s="11"/>
      <c r="W470" s="11"/>
      <c r="X470" s="11"/>
      <c r="Y470" s="11"/>
      <c r="Z470" s="11"/>
      <c r="AA470" s="11">
        <v>95</v>
      </c>
      <c r="AB470" s="11"/>
      <c r="AC470" s="11"/>
      <c r="AD470" s="11"/>
      <c r="AE470" s="11"/>
      <c r="AF470" s="11">
        <v>155</v>
      </c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>
        <v>100</v>
      </c>
      <c r="AR470" s="11">
        <v>55</v>
      </c>
      <c r="AS470" s="11"/>
      <c r="AT470" s="11"/>
      <c r="AU470" s="11"/>
      <c r="AV470" s="11"/>
      <c r="AW470" s="20" t="str">
        <f>HYPERLINK("http://www.openstreetmap.org/?mlat=35.5171&amp;mlon=43.2358&amp;zoom=12#map=12/35.5171/43.2358","Maplink1")</f>
        <v>Maplink1</v>
      </c>
      <c r="AX470" s="20" t="str">
        <f>HYPERLINK("https://www.google.iq/maps/search/+35.5171,43.2358/@35.5171,43.2358,14z?hl=en","Maplink2")</f>
        <v>Maplink2</v>
      </c>
      <c r="AY470" s="20" t="str">
        <f>HYPERLINK("http://www.bing.com/maps/?lvl=14&amp;sty=h&amp;cp=35.5171~43.2358&amp;sp=point.35.5171_43.2358","Maplink3")</f>
        <v>Maplink3</v>
      </c>
    </row>
    <row r="471" spans="1:51" x14ac:dyDescent="0.25">
      <c r="A471" s="9">
        <v>29652</v>
      </c>
      <c r="B471" s="10" t="s">
        <v>22</v>
      </c>
      <c r="C471" s="10" t="s">
        <v>1182</v>
      </c>
      <c r="D471" s="10" t="s">
        <v>1388</v>
      </c>
      <c r="E471" s="10" t="s">
        <v>356</v>
      </c>
      <c r="F471" s="10">
        <v>35.522385999999997</v>
      </c>
      <c r="G471" s="10">
        <v>43.228344</v>
      </c>
      <c r="H471" s="10" t="s">
        <v>612</v>
      </c>
      <c r="I471" s="10" t="s">
        <v>1183</v>
      </c>
      <c r="J471" s="10"/>
      <c r="K471" s="11">
        <v>101</v>
      </c>
      <c r="L471" s="11">
        <v>606</v>
      </c>
      <c r="M471" s="11"/>
      <c r="N471" s="11"/>
      <c r="O471" s="11"/>
      <c r="P471" s="11"/>
      <c r="Q471" s="11"/>
      <c r="R471" s="11"/>
      <c r="S471" s="11">
        <v>31</v>
      </c>
      <c r="T471" s="11"/>
      <c r="U471" s="11">
        <v>8</v>
      </c>
      <c r="V471" s="11"/>
      <c r="W471" s="11"/>
      <c r="X471" s="11"/>
      <c r="Y471" s="11"/>
      <c r="Z471" s="11"/>
      <c r="AA471" s="11">
        <v>62</v>
      </c>
      <c r="AB471" s="11"/>
      <c r="AC471" s="11"/>
      <c r="AD471" s="11"/>
      <c r="AE471" s="11"/>
      <c r="AF471" s="11">
        <v>101</v>
      </c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>
        <v>101</v>
      </c>
      <c r="AR471" s="11"/>
      <c r="AS471" s="11"/>
      <c r="AT471" s="11"/>
      <c r="AU471" s="11"/>
      <c r="AV471" s="11"/>
      <c r="AW471" s="20" t="str">
        <f>HYPERLINK("http://www.openstreetmap.org/?mlat=35.5224&amp;mlon=43.2283&amp;zoom=12#map=12/35.5224/43.2283","Maplink1")</f>
        <v>Maplink1</v>
      </c>
      <c r="AX471" s="20" t="str">
        <f>HYPERLINK("https://www.google.iq/maps/search/+35.5224,43.2283/@35.5224,43.2283,14z?hl=en","Maplink2")</f>
        <v>Maplink2</v>
      </c>
      <c r="AY471" s="20" t="str">
        <f>HYPERLINK("http://www.bing.com/maps/?lvl=14&amp;sty=h&amp;cp=35.5224~43.2283&amp;sp=point.35.5224_43.2283","Maplink3")</f>
        <v>Maplink3</v>
      </c>
    </row>
    <row r="472" spans="1:51" x14ac:dyDescent="0.25">
      <c r="A472" s="9">
        <v>29655</v>
      </c>
      <c r="B472" s="10" t="s">
        <v>22</v>
      </c>
      <c r="C472" s="10" t="s">
        <v>1182</v>
      </c>
      <c r="D472" s="10" t="s">
        <v>1389</v>
      </c>
      <c r="E472" s="10" t="s">
        <v>1390</v>
      </c>
      <c r="F472" s="10">
        <v>35.538479000000002</v>
      </c>
      <c r="G472" s="10">
        <v>43.226945999999998</v>
      </c>
      <c r="H472" s="10" t="s">
        <v>612</v>
      </c>
      <c r="I472" s="10" t="s">
        <v>1183</v>
      </c>
      <c r="J472" s="10"/>
      <c r="K472" s="11">
        <v>207</v>
      </c>
      <c r="L472" s="11">
        <v>1242</v>
      </c>
      <c r="M472" s="11"/>
      <c r="N472" s="11"/>
      <c r="O472" s="11">
        <v>4</v>
      </c>
      <c r="P472" s="11">
        <v>5</v>
      </c>
      <c r="Q472" s="11"/>
      <c r="R472" s="11"/>
      <c r="S472" s="11">
        <v>55</v>
      </c>
      <c r="T472" s="11"/>
      <c r="U472" s="11">
        <v>61</v>
      </c>
      <c r="V472" s="11"/>
      <c r="W472" s="11"/>
      <c r="X472" s="11"/>
      <c r="Y472" s="11"/>
      <c r="Z472" s="11"/>
      <c r="AA472" s="11">
        <v>79</v>
      </c>
      <c r="AB472" s="11">
        <v>3</v>
      </c>
      <c r="AC472" s="11"/>
      <c r="AD472" s="11"/>
      <c r="AE472" s="11"/>
      <c r="AF472" s="11">
        <v>207</v>
      </c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>
        <v>107</v>
      </c>
      <c r="AR472" s="11">
        <v>100</v>
      </c>
      <c r="AS472" s="11"/>
      <c r="AT472" s="11"/>
      <c r="AU472" s="11"/>
      <c r="AV472" s="11"/>
      <c r="AW472" s="20" t="str">
        <f>HYPERLINK("http://www.openstreetmap.org/?mlat=35.5385&amp;mlon=43.2269&amp;zoom=12#map=12/35.5385/43.2269","Maplink1")</f>
        <v>Maplink1</v>
      </c>
      <c r="AX472" s="20" t="str">
        <f>HYPERLINK("https://www.google.iq/maps/search/+35.5385,43.2269/@35.5385,43.2269,14z?hl=en","Maplink2")</f>
        <v>Maplink2</v>
      </c>
      <c r="AY472" s="20" t="str">
        <f>HYPERLINK("http://www.bing.com/maps/?lvl=14&amp;sty=h&amp;cp=35.5385~43.2269&amp;sp=point.35.5385_43.2269","Maplink3")</f>
        <v>Maplink3</v>
      </c>
    </row>
    <row r="473" spans="1:51" x14ac:dyDescent="0.25">
      <c r="A473" s="9">
        <v>20403</v>
      </c>
      <c r="B473" s="10" t="s">
        <v>22</v>
      </c>
      <c r="C473" s="10" t="s">
        <v>1182</v>
      </c>
      <c r="D473" s="10" t="s">
        <v>1391</v>
      </c>
      <c r="E473" s="10" t="s">
        <v>1392</v>
      </c>
      <c r="F473" s="10">
        <v>35.590428000000003</v>
      </c>
      <c r="G473" s="10">
        <v>43.239811000000003</v>
      </c>
      <c r="H473" s="10" t="s">
        <v>612</v>
      </c>
      <c r="I473" s="10" t="s">
        <v>1183</v>
      </c>
      <c r="J473" s="10" t="s">
        <v>1393</v>
      </c>
      <c r="K473" s="11">
        <v>192</v>
      </c>
      <c r="L473" s="11">
        <v>1152</v>
      </c>
      <c r="M473" s="11"/>
      <c r="N473" s="11"/>
      <c r="O473" s="11"/>
      <c r="P473" s="11"/>
      <c r="Q473" s="11"/>
      <c r="R473" s="11"/>
      <c r="S473" s="11">
        <v>16</v>
      </c>
      <c r="T473" s="11"/>
      <c r="U473" s="11">
        <v>15</v>
      </c>
      <c r="V473" s="11"/>
      <c r="W473" s="11"/>
      <c r="X473" s="11"/>
      <c r="Y473" s="11"/>
      <c r="Z473" s="11"/>
      <c r="AA473" s="11">
        <v>161</v>
      </c>
      <c r="AB473" s="11"/>
      <c r="AC473" s="11"/>
      <c r="AD473" s="11"/>
      <c r="AE473" s="11"/>
      <c r="AF473" s="11">
        <v>192</v>
      </c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>
        <v>92</v>
      </c>
      <c r="AR473" s="11">
        <v>100</v>
      </c>
      <c r="AS473" s="11"/>
      <c r="AT473" s="11"/>
      <c r="AU473" s="11"/>
      <c r="AV473" s="11"/>
      <c r="AW473" s="20" t="str">
        <f>HYPERLINK("http://www.openstreetmap.org/?mlat=35.5904&amp;mlon=43.2398&amp;zoom=12#map=12/35.5904/43.2398","Maplink1")</f>
        <v>Maplink1</v>
      </c>
      <c r="AX473" s="20" t="str">
        <f>HYPERLINK("https://www.google.iq/maps/search/+35.5904,43.2398/@35.5904,43.2398,14z?hl=en","Maplink2")</f>
        <v>Maplink2</v>
      </c>
      <c r="AY473" s="20" t="str">
        <f>HYPERLINK("http://www.bing.com/maps/?lvl=14&amp;sty=h&amp;cp=35.5904~43.2398&amp;sp=point.35.5904_43.2398","Maplink3")</f>
        <v>Maplink3</v>
      </c>
    </row>
    <row r="474" spans="1:51" x14ac:dyDescent="0.25">
      <c r="A474" s="9">
        <v>20991</v>
      </c>
      <c r="B474" s="10" t="s">
        <v>22</v>
      </c>
      <c r="C474" s="10" t="s">
        <v>1182</v>
      </c>
      <c r="D474" s="10" t="s">
        <v>1394</v>
      </c>
      <c r="E474" s="10" t="s">
        <v>1395</v>
      </c>
      <c r="F474" s="10">
        <v>35.468224999999997</v>
      </c>
      <c r="G474" s="10">
        <v>43.244653</v>
      </c>
      <c r="H474" s="10" t="s">
        <v>612</v>
      </c>
      <c r="I474" s="10" t="s">
        <v>1183</v>
      </c>
      <c r="J474" s="10" t="s">
        <v>1396</v>
      </c>
      <c r="K474" s="11">
        <v>292</v>
      </c>
      <c r="L474" s="11">
        <v>1752</v>
      </c>
      <c r="M474" s="11"/>
      <c r="N474" s="11"/>
      <c r="O474" s="11">
        <v>12</v>
      </c>
      <c r="P474" s="11">
        <v>14</v>
      </c>
      <c r="Q474" s="11"/>
      <c r="R474" s="11"/>
      <c r="S474" s="11">
        <v>53</v>
      </c>
      <c r="T474" s="11"/>
      <c r="U474" s="11">
        <v>25</v>
      </c>
      <c r="V474" s="11"/>
      <c r="W474" s="11"/>
      <c r="X474" s="11"/>
      <c r="Y474" s="11"/>
      <c r="Z474" s="11"/>
      <c r="AA474" s="11">
        <v>173</v>
      </c>
      <c r="AB474" s="11">
        <v>15</v>
      </c>
      <c r="AC474" s="11"/>
      <c r="AD474" s="11"/>
      <c r="AE474" s="11"/>
      <c r="AF474" s="11">
        <v>292</v>
      </c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>
        <v>200</v>
      </c>
      <c r="AR474" s="11">
        <v>92</v>
      </c>
      <c r="AS474" s="11"/>
      <c r="AT474" s="11"/>
      <c r="AU474" s="11"/>
      <c r="AV474" s="11"/>
      <c r="AW474" s="20" t="str">
        <f>HYPERLINK("http://www.openstreetmap.org/?mlat=35.4682&amp;mlon=43.2447&amp;zoom=12#map=12/35.4682/43.2447","Maplink1")</f>
        <v>Maplink1</v>
      </c>
      <c r="AX474" s="20" t="str">
        <f>HYPERLINK("https://www.google.iq/maps/search/+35.4682,43.2447/@35.4682,43.2447,14z?hl=en","Maplink2")</f>
        <v>Maplink2</v>
      </c>
      <c r="AY474" s="20" t="str">
        <f>HYPERLINK("http://www.bing.com/maps/?lvl=14&amp;sty=h&amp;cp=35.4682~43.2447&amp;sp=point.35.4682_43.2447","Maplink3")</f>
        <v>Maplink3</v>
      </c>
    </row>
    <row r="475" spans="1:51" x14ac:dyDescent="0.25">
      <c r="A475" s="9">
        <v>21006</v>
      </c>
      <c r="B475" s="10" t="s">
        <v>22</v>
      </c>
      <c r="C475" s="10" t="s">
        <v>1182</v>
      </c>
      <c r="D475" s="10" t="s">
        <v>1397</v>
      </c>
      <c r="E475" s="10" t="s">
        <v>1398</v>
      </c>
      <c r="F475" s="10">
        <v>35.488326999999998</v>
      </c>
      <c r="G475" s="10">
        <v>43.227102000000002</v>
      </c>
      <c r="H475" s="10" t="s">
        <v>612</v>
      </c>
      <c r="I475" s="10" t="s">
        <v>1183</v>
      </c>
      <c r="J475" s="10" t="s">
        <v>1399</v>
      </c>
      <c r="K475" s="11">
        <v>833</v>
      </c>
      <c r="L475" s="11">
        <v>4998</v>
      </c>
      <c r="M475" s="11"/>
      <c r="N475" s="11"/>
      <c r="O475" s="11">
        <v>8</v>
      </c>
      <c r="P475" s="11">
        <v>7</v>
      </c>
      <c r="Q475" s="11"/>
      <c r="R475" s="11"/>
      <c r="S475" s="11">
        <v>150</v>
      </c>
      <c r="T475" s="11"/>
      <c r="U475" s="11">
        <v>186</v>
      </c>
      <c r="V475" s="11"/>
      <c r="W475" s="11"/>
      <c r="X475" s="11"/>
      <c r="Y475" s="11"/>
      <c r="Z475" s="11"/>
      <c r="AA475" s="11">
        <v>467</v>
      </c>
      <c r="AB475" s="11">
        <v>15</v>
      </c>
      <c r="AC475" s="11"/>
      <c r="AD475" s="11"/>
      <c r="AE475" s="11"/>
      <c r="AF475" s="11">
        <v>833</v>
      </c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>
        <v>513</v>
      </c>
      <c r="AR475" s="11">
        <v>320</v>
      </c>
      <c r="AS475" s="11"/>
      <c r="AT475" s="11"/>
      <c r="AU475" s="11"/>
      <c r="AV475" s="11"/>
      <c r="AW475" s="20" t="str">
        <f>HYPERLINK("http://www.openstreetmap.org/?mlat=35.4883&amp;mlon=43.2271&amp;zoom=12#map=12/35.4883/43.2271","Maplink1")</f>
        <v>Maplink1</v>
      </c>
      <c r="AX475" s="20" t="str">
        <f>HYPERLINK("https://www.google.iq/maps/search/+35.4883,43.2271/@35.4883,43.2271,14z?hl=en","Maplink2")</f>
        <v>Maplink2</v>
      </c>
      <c r="AY475" s="20" t="str">
        <f>HYPERLINK("http://www.bing.com/maps/?lvl=14&amp;sty=h&amp;cp=35.4883~43.2271&amp;sp=point.35.4883_43.2271","Maplink3")</f>
        <v>Maplink3</v>
      </c>
    </row>
    <row r="476" spans="1:51" x14ac:dyDescent="0.25">
      <c r="A476" s="9">
        <v>29632</v>
      </c>
      <c r="B476" s="10" t="s">
        <v>22</v>
      </c>
      <c r="C476" s="10" t="s">
        <v>630</v>
      </c>
      <c r="D476" s="10" t="s">
        <v>1278</v>
      </c>
      <c r="E476" s="10" t="s">
        <v>1279</v>
      </c>
      <c r="F476" s="10">
        <v>34.84794823</v>
      </c>
      <c r="G476" s="10">
        <v>43.4878</v>
      </c>
      <c r="H476" s="10" t="s">
        <v>612</v>
      </c>
      <c r="I476" s="10" t="s">
        <v>631</v>
      </c>
      <c r="J476" s="10"/>
      <c r="K476" s="11">
        <v>125</v>
      </c>
      <c r="L476" s="11">
        <v>750</v>
      </c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>
        <v>125</v>
      </c>
      <c r="AB476" s="11"/>
      <c r="AC476" s="11"/>
      <c r="AD476" s="11"/>
      <c r="AE476" s="11"/>
      <c r="AF476" s="11">
        <v>125</v>
      </c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>
        <v>125</v>
      </c>
      <c r="AS476" s="11"/>
      <c r="AT476" s="11"/>
      <c r="AU476" s="11"/>
      <c r="AV476" s="11"/>
      <c r="AW476" s="20" t="str">
        <f>HYPERLINK("http://www.openstreetmap.org/?mlat=34.8479&amp;mlon=43.4878&amp;zoom=12#map=12/34.8479/43.4878","Maplink1")</f>
        <v>Maplink1</v>
      </c>
      <c r="AX476" s="20" t="str">
        <f>HYPERLINK("https://www.google.iq/maps/search/+34.8479,43.4878/@34.8479,43.4878,14z?hl=en","Maplink2")</f>
        <v>Maplink2</v>
      </c>
      <c r="AY476" s="20" t="str">
        <f>HYPERLINK("http://www.bing.com/maps/?lvl=14&amp;sty=h&amp;cp=34.8479~43.4878&amp;sp=point.34.8479_43.4878","Maplink3")</f>
        <v>Maplink3</v>
      </c>
    </row>
    <row r="477" spans="1:51" x14ac:dyDescent="0.25">
      <c r="A477" s="9">
        <v>23388</v>
      </c>
      <c r="B477" s="10" t="s">
        <v>22</v>
      </c>
      <c r="C477" s="10" t="s">
        <v>630</v>
      </c>
      <c r="D477" s="10" t="s">
        <v>809</v>
      </c>
      <c r="E477" s="10" t="s">
        <v>1184</v>
      </c>
      <c r="F477" s="10">
        <v>34.768366739999998</v>
      </c>
      <c r="G477" s="10">
        <v>43.59085838</v>
      </c>
      <c r="H477" s="10" t="s">
        <v>612</v>
      </c>
      <c r="I477" s="10" t="s">
        <v>631</v>
      </c>
      <c r="J477" s="10" t="s">
        <v>632</v>
      </c>
      <c r="K477" s="11">
        <v>284</v>
      </c>
      <c r="L477" s="11">
        <v>1704</v>
      </c>
      <c r="M477" s="11"/>
      <c r="N477" s="11"/>
      <c r="O477" s="11">
        <v>3</v>
      </c>
      <c r="P477" s="11"/>
      <c r="Q477" s="11"/>
      <c r="R477" s="11"/>
      <c r="S477" s="11">
        <v>50</v>
      </c>
      <c r="T477" s="11"/>
      <c r="U477" s="11">
        <v>167</v>
      </c>
      <c r="V477" s="11"/>
      <c r="W477" s="11"/>
      <c r="X477" s="11"/>
      <c r="Y477" s="11"/>
      <c r="Z477" s="11"/>
      <c r="AA477" s="11">
        <v>14</v>
      </c>
      <c r="AB477" s="11">
        <v>50</v>
      </c>
      <c r="AC477" s="11"/>
      <c r="AD477" s="11"/>
      <c r="AE477" s="11"/>
      <c r="AF477" s="11">
        <v>264</v>
      </c>
      <c r="AG477" s="11"/>
      <c r="AH477" s="11"/>
      <c r="AI477" s="11"/>
      <c r="AJ477" s="11"/>
      <c r="AK477" s="11"/>
      <c r="AL477" s="11">
        <v>20</v>
      </c>
      <c r="AM477" s="11"/>
      <c r="AN477" s="11"/>
      <c r="AO477" s="11"/>
      <c r="AP477" s="11"/>
      <c r="AQ477" s="11">
        <v>270</v>
      </c>
      <c r="AR477" s="11"/>
      <c r="AS477" s="11">
        <v>14</v>
      </c>
      <c r="AT477" s="11"/>
      <c r="AU477" s="11"/>
      <c r="AV477" s="11"/>
      <c r="AW477" s="20" t="str">
        <f>HYPERLINK("http://www.openstreetmap.org/?mlat=34.7684&amp;mlon=43.5909&amp;zoom=12#map=12/34.7684/43.5909","Maplink1")</f>
        <v>Maplink1</v>
      </c>
      <c r="AX477" s="20" t="str">
        <f>HYPERLINK("https://www.google.iq/maps/search/+34.7684,43.5909/@34.7684,43.5909,14z?hl=en","Maplink2")</f>
        <v>Maplink2</v>
      </c>
      <c r="AY477" s="20" t="str">
        <f>HYPERLINK("http://www.bing.com/maps/?lvl=14&amp;sty=h&amp;cp=34.7684~43.5909&amp;sp=point.34.7684_43.5909","Maplink3")</f>
        <v>Maplink3</v>
      </c>
    </row>
    <row r="478" spans="1:51" s="19" customFormat="1" x14ac:dyDescent="0.25">
      <c r="A478" s="9">
        <v>25921</v>
      </c>
      <c r="B478" s="10" t="s">
        <v>22</v>
      </c>
      <c r="C478" s="10" t="s">
        <v>630</v>
      </c>
      <c r="D478" s="10" t="s">
        <v>1280</v>
      </c>
      <c r="E478" s="10" t="s">
        <v>1185</v>
      </c>
      <c r="F478" s="10">
        <v>34.84794823</v>
      </c>
      <c r="G478" s="10">
        <v>43.51412586</v>
      </c>
      <c r="H478" s="10" t="s">
        <v>612</v>
      </c>
      <c r="I478" s="10" t="s">
        <v>631</v>
      </c>
      <c r="J478" s="10"/>
      <c r="K478" s="11">
        <v>1931</v>
      </c>
      <c r="L478" s="11">
        <v>11586</v>
      </c>
      <c r="M478" s="11"/>
      <c r="N478" s="11"/>
      <c r="O478" s="11">
        <v>5</v>
      </c>
      <c r="P478" s="11">
        <v>5</v>
      </c>
      <c r="Q478" s="11"/>
      <c r="R478" s="11"/>
      <c r="S478" s="11">
        <v>1908</v>
      </c>
      <c r="T478" s="11"/>
      <c r="U478" s="11">
        <v>10</v>
      </c>
      <c r="V478" s="11"/>
      <c r="W478" s="11"/>
      <c r="X478" s="11"/>
      <c r="Y478" s="11"/>
      <c r="Z478" s="11"/>
      <c r="AA478" s="11">
        <v>3</v>
      </c>
      <c r="AB478" s="11"/>
      <c r="AC478" s="11"/>
      <c r="AD478" s="11"/>
      <c r="AE478" s="11"/>
      <c r="AF478" s="11">
        <v>1920</v>
      </c>
      <c r="AG478" s="11">
        <v>11</v>
      </c>
      <c r="AH478" s="11"/>
      <c r="AI478" s="11"/>
      <c r="AJ478" s="11"/>
      <c r="AK478" s="11"/>
      <c r="AL478" s="11"/>
      <c r="AM478" s="11"/>
      <c r="AN478" s="11"/>
      <c r="AO478" s="11"/>
      <c r="AP478" s="11">
        <v>90</v>
      </c>
      <c r="AQ478" s="11">
        <v>1750</v>
      </c>
      <c r="AR478" s="11">
        <v>91</v>
      </c>
      <c r="AS478" s="11"/>
      <c r="AT478" s="11"/>
      <c r="AU478" s="11"/>
      <c r="AV478" s="11"/>
      <c r="AW478" s="20" t="str">
        <f>HYPERLINK("http://www.openstreetmap.org/?mlat=34.8479&amp;mlon=43.5141&amp;zoom=12#map=12/34.8479/43.5141","Maplink1")</f>
        <v>Maplink1</v>
      </c>
      <c r="AX478" s="20" t="str">
        <f>HYPERLINK("https://www.google.iq/maps/search/+34.8479,43.5141/@34.8479,43.5141,14z?hl=en","Maplink2")</f>
        <v>Maplink2</v>
      </c>
      <c r="AY478" s="20" t="str">
        <f>HYPERLINK("http://www.bing.com/maps/?lvl=14&amp;sty=h&amp;cp=34.8479~43.5141&amp;sp=point.34.8479_43.5141","Maplink3")</f>
        <v>Maplink3</v>
      </c>
    </row>
    <row r="479" spans="1:51" s="19" customFormat="1" x14ac:dyDescent="0.25">
      <c r="A479" s="9">
        <v>20655</v>
      </c>
      <c r="B479" s="10" t="s">
        <v>22</v>
      </c>
      <c r="C479" s="10" t="s">
        <v>630</v>
      </c>
      <c r="D479" s="10" t="s">
        <v>1186</v>
      </c>
      <c r="E479" s="10" t="s">
        <v>1187</v>
      </c>
      <c r="F479" s="10">
        <v>34.886780000000002</v>
      </c>
      <c r="G479" s="10">
        <v>43.488549999999996</v>
      </c>
      <c r="H479" s="10" t="s">
        <v>612</v>
      </c>
      <c r="I479" s="10" t="s">
        <v>631</v>
      </c>
      <c r="J479" s="10" t="s">
        <v>1188</v>
      </c>
      <c r="K479" s="11">
        <v>260</v>
      </c>
      <c r="L479" s="11">
        <v>1560</v>
      </c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>
        <v>260</v>
      </c>
      <c r="AB479" s="11"/>
      <c r="AC479" s="11"/>
      <c r="AD479" s="11"/>
      <c r="AE479" s="11"/>
      <c r="AF479" s="11">
        <v>260</v>
      </c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>
        <v>260</v>
      </c>
      <c r="AR479" s="11"/>
      <c r="AS479" s="11"/>
      <c r="AT479" s="11"/>
      <c r="AU479" s="11"/>
      <c r="AV479" s="11"/>
      <c r="AW479" s="20" t="str">
        <f>HYPERLINK("http://www.openstreetmap.org/?mlat=34.8868&amp;mlon=43.4885&amp;zoom=12#map=12/34.8868/43.4885","Maplink1")</f>
        <v>Maplink1</v>
      </c>
      <c r="AX479" s="20" t="str">
        <f>HYPERLINK("https://www.google.iq/maps/search/+34.8868,43.4885/@34.8868,43.4885,14z?hl=en","Maplink2")</f>
        <v>Maplink2</v>
      </c>
      <c r="AY479" s="20" t="str">
        <f>HYPERLINK("http://www.bing.com/maps/?lvl=14&amp;sty=h&amp;cp=34.8868~43.4885&amp;sp=point.34.8868_43.4885","Maplink3")</f>
        <v>Maplink3</v>
      </c>
    </row>
    <row r="480" spans="1:51" s="19" customFormat="1" x14ac:dyDescent="0.25">
      <c r="A480" s="9">
        <v>25706</v>
      </c>
      <c r="B480" s="10" t="s">
        <v>22</v>
      </c>
      <c r="C480" s="10" t="s">
        <v>630</v>
      </c>
      <c r="D480" s="10" t="s">
        <v>1189</v>
      </c>
      <c r="E480" s="10" t="s">
        <v>1190</v>
      </c>
      <c r="F480" s="10">
        <v>34.825642250000001</v>
      </c>
      <c r="G480" s="10">
        <v>43.546981529999996</v>
      </c>
      <c r="H480" s="10" t="s">
        <v>612</v>
      </c>
      <c r="I480" s="10" t="s">
        <v>631</v>
      </c>
      <c r="J480" s="10"/>
      <c r="K480" s="11">
        <v>1276</v>
      </c>
      <c r="L480" s="11">
        <v>7656</v>
      </c>
      <c r="M480" s="11"/>
      <c r="N480" s="11"/>
      <c r="O480" s="11">
        <v>2</v>
      </c>
      <c r="P480" s="11"/>
      <c r="Q480" s="11">
        <v>3</v>
      </c>
      <c r="R480" s="11"/>
      <c r="S480" s="11">
        <v>931</v>
      </c>
      <c r="T480" s="11"/>
      <c r="U480" s="11">
        <v>50</v>
      </c>
      <c r="V480" s="11"/>
      <c r="W480" s="11"/>
      <c r="X480" s="11"/>
      <c r="Y480" s="11"/>
      <c r="Z480" s="11"/>
      <c r="AA480" s="11">
        <v>140</v>
      </c>
      <c r="AB480" s="11">
        <v>150</v>
      </c>
      <c r="AC480" s="11"/>
      <c r="AD480" s="11"/>
      <c r="AE480" s="11"/>
      <c r="AF480" s="11">
        <v>1150</v>
      </c>
      <c r="AG480" s="11">
        <v>30</v>
      </c>
      <c r="AH480" s="11"/>
      <c r="AI480" s="11"/>
      <c r="AJ480" s="11"/>
      <c r="AK480" s="11"/>
      <c r="AL480" s="11">
        <v>96</v>
      </c>
      <c r="AM480" s="11"/>
      <c r="AN480" s="11"/>
      <c r="AO480" s="11"/>
      <c r="AP480" s="11">
        <v>15</v>
      </c>
      <c r="AQ480" s="11">
        <v>1150</v>
      </c>
      <c r="AR480" s="11">
        <v>111</v>
      </c>
      <c r="AS480" s="11"/>
      <c r="AT480" s="11"/>
      <c r="AU480" s="11"/>
      <c r="AV480" s="11"/>
      <c r="AW480" s="20" t="str">
        <f>HYPERLINK("http://www.openstreetmap.org/?mlat=34.8256&amp;mlon=43.547&amp;zoom=12#map=12/34.8256/43.547","Maplink1")</f>
        <v>Maplink1</v>
      </c>
      <c r="AX480" s="20" t="str">
        <f>HYPERLINK("https://www.google.iq/maps/search/+34.8256,43.547/@34.8256,43.547,14z?hl=en","Maplink2")</f>
        <v>Maplink2</v>
      </c>
      <c r="AY480" s="20" t="str">
        <f>HYPERLINK("http://www.bing.com/maps/?lvl=14&amp;sty=h&amp;cp=34.8256~43.547&amp;sp=point.34.8256_43.547","Maplink3")</f>
        <v>Maplink3</v>
      </c>
    </row>
    <row r="481" spans="1:51" s="19" customFormat="1" x14ac:dyDescent="0.25">
      <c r="A481" s="9">
        <v>22813</v>
      </c>
      <c r="B481" s="10" t="s">
        <v>22</v>
      </c>
      <c r="C481" s="10" t="s">
        <v>630</v>
      </c>
      <c r="D481" s="10" t="s">
        <v>916</v>
      </c>
      <c r="E481" s="10" t="s">
        <v>1191</v>
      </c>
      <c r="F481" s="10">
        <v>34.86265641</v>
      </c>
      <c r="G481" s="10">
        <v>43.507938340000003</v>
      </c>
      <c r="H481" s="10" t="s">
        <v>612</v>
      </c>
      <c r="I481" s="10" t="s">
        <v>631</v>
      </c>
      <c r="J481" s="10" t="s">
        <v>917</v>
      </c>
      <c r="K481" s="11">
        <v>650</v>
      </c>
      <c r="L481" s="11">
        <v>3900</v>
      </c>
      <c r="M481" s="11"/>
      <c r="N481" s="11"/>
      <c r="O481" s="11"/>
      <c r="P481" s="11"/>
      <c r="Q481" s="11"/>
      <c r="R481" s="11"/>
      <c r="S481" s="11">
        <v>150</v>
      </c>
      <c r="T481" s="11"/>
      <c r="U481" s="11">
        <v>300</v>
      </c>
      <c r="V481" s="11"/>
      <c r="W481" s="11"/>
      <c r="X481" s="11"/>
      <c r="Y481" s="11"/>
      <c r="Z481" s="11"/>
      <c r="AA481" s="11">
        <v>200</v>
      </c>
      <c r="AB481" s="11"/>
      <c r="AC481" s="11"/>
      <c r="AD481" s="11"/>
      <c r="AE481" s="11"/>
      <c r="AF481" s="11">
        <v>400</v>
      </c>
      <c r="AG481" s="11">
        <v>75</v>
      </c>
      <c r="AH481" s="11"/>
      <c r="AI481" s="11"/>
      <c r="AJ481" s="11"/>
      <c r="AK481" s="11"/>
      <c r="AL481" s="11">
        <v>175</v>
      </c>
      <c r="AM481" s="11"/>
      <c r="AN481" s="11"/>
      <c r="AO481" s="11"/>
      <c r="AP481" s="11">
        <v>350</v>
      </c>
      <c r="AQ481" s="11">
        <v>300</v>
      </c>
      <c r="AR481" s="11"/>
      <c r="AS481" s="11"/>
      <c r="AT481" s="11"/>
      <c r="AU481" s="11"/>
      <c r="AV481" s="11"/>
      <c r="AW481" s="20" t="str">
        <f>HYPERLINK("http://www.openstreetmap.org/?mlat=34.8627&amp;mlon=43.5079&amp;zoom=12#map=12/34.8627/43.5079","Maplink1")</f>
        <v>Maplink1</v>
      </c>
      <c r="AX481" s="20" t="str">
        <f>HYPERLINK("https://www.google.iq/maps/search/+34.8627,43.5079/@34.8627,43.5079,14z?hl=en","Maplink2")</f>
        <v>Maplink2</v>
      </c>
      <c r="AY481" s="20" t="str">
        <f>HYPERLINK("http://www.bing.com/maps/?lvl=14&amp;sty=h&amp;cp=34.8627~43.5079&amp;sp=point.34.8627_43.5079","Maplink3")</f>
        <v>Maplink3</v>
      </c>
    </row>
    <row r="482" spans="1:51" s="19" customFormat="1" x14ac:dyDescent="0.25">
      <c r="A482" s="9">
        <v>25742</v>
      </c>
      <c r="B482" s="10" t="s">
        <v>22</v>
      </c>
      <c r="C482" s="10" t="s">
        <v>633</v>
      </c>
      <c r="D482" s="10" t="s">
        <v>634</v>
      </c>
      <c r="E482" s="10" t="s">
        <v>635</v>
      </c>
      <c r="F482" s="10">
        <v>34.032523079999997</v>
      </c>
      <c r="G482" s="10">
        <v>44.231025440000003</v>
      </c>
      <c r="H482" s="10" t="s">
        <v>612</v>
      </c>
      <c r="I482" s="10" t="s">
        <v>636</v>
      </c>
      <c r="J482" s="10"/>
      <c r="K482" s="11">
        <v>410</v>
      </c>
      <c r="L482" s="11">
        <v>2460</v>
      </c>
      <c r="M482" s="11"/>
      <c r="N482" s="11"/>
      <c r="O482" s="11">
        <v>386</v>
      </c>
      <c r="P482" s="11"/>
      <c r="Q482" s="11"/>
      <c r="R482" s="11"/>
      <c r="S482" s="11"/>
      <c r="T482" s="11"/>
      <c r="U482" s="11">
        <v>24</v>
      </c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>
        <v>410</v>
      </c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>
        <v>410</v>
      </c>
      <c r="AR482" s="11"/>
      <c r="AS482" s="11"/>
      <c r="AT482" s="11"/>
      <c r="AU482" s="11"/>
      <c r="AV482" s="11"/>
      <c r="AW482" s="20" t="str">
        <f>HYPERLINK("http://www.openstreetmap.org/?mlat=34.0325&amp;mlon=44.231&amp;zoom=12#map=12/34.0325/44.231","Maplink1")</f>
        <v>Maplink1</v>
      </c>
      <c r="AX482" s="20" t="str">
        <f>HYPERLINK("https://www.google.iq/maps/search/+34.0325,44.231/@34.0325,44.231,14z?hl=en","Maplink2")</f>
        <v>Maplink2</v>
      </c>
      <c r="AY482" s="20" t="str">
        <f>HYPERLINK("http://www.bing.com/maps/?lvl=14&amp;sty=h&amp;cp=34.0325~44.231&amp;sp=point.34.0325_44.231","Maplink3")</f>
        <v>Maplink3</v>
      </c>
    </row>
    <row r="483" spans="1:51" s="19" customFormat="1" x14ac:dyDescent="0.25">
      <c r="A483" s="9">
        <v>20770</v>
      </c>
      <c r="B483" s="10" t="s">
        <v>22</v>
      </c>
      <c r="C483" s="10" t="s">
        <v>633</v>
      </c>
      <c r="D483" s="10" t="s">
        <v>637</v>
      </c>
      <c r="E483" s="10" t="s">
        <v>638</v>
      </c>
      <c r="F483" s="10">
        <v>34.046609420000003</v>
      </c>
      <c r="G483" s="10">
        <v>44.219951469999998</v>
      </c>
      <c r="H483" s="10" t="s">
        <v>612</v>
      </c>
      <c r="I483" s="10" t="s">
        <v>636</v>
      </c>
      <c r="J483" s="10" t="s">
        <v>639</v>
      </c>
      <c r="K483" s="11">
        <v>388</v>
      </c>
      <c r="L483" s="11">
        <v>2328</v>
      </c>
      <c r="M483" s="11"/>
      <c r="N483" s="11"/>
      <c r="O483" s="11">
        <v>221</v>
      </c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>
        <v>167</v>
      </c>
      <c r="AB483" s="11"/>
      <c r="AC483" s="11"/>
      <c r="AD483" s="11"/>
      <c r="AE483" s="11"/>
      <c r="AF483" s="11">
        <v>388</v>
      </c>
      <c r="AG483" s="11"/>
      <c r="AH483" s="11"/>
      <c r="AI483" s="11"/>
      <c r="AJ483" s="11"/>
      <c r="AK483" s="11"/>
      <c r="AL483" s="11"/>
      <c r="AM483" s="11"/>
      <c r="AN483" s="11"/>
      <c r="AO483" s="11"/>
      <c r="AP483" s="11">
        <v>186</v>
      </c>
      <c r="AQ483" s="11">
        <v>202</v>
      </c>
      <c r="AR483" s="11"/>
      <c r="AS483" s="11"/>
      <c r="AT483" s="11"/>
      <c r="AU483" s="11"/>
      <c r="AV483" s="11"/>
      <c r="AW483" s="20" t="str">
        <f>HYPERLINK("http://www.openstreetmap.org/?mlat=34.0466&amp;mlon=44.22&amp;zoom=12#map=12/34.0466/44.22","Maplink1")</f>
        <v>Maplink1</v>
      </c>
      <c r="AX483" s="20" t="str">
        <f>HYPERLINK("https://www.google.iq/maps/search/+34.0466,44.22/@34.0466,44.22,14z?hl=en","Maplink2")</f>
        <v>Maplink2</v>
      </c>
      <c r="AY483" s="20" t="str">
        <f>HYPERLINK("http://www.bing.com/maps/?lvl=14&amp;sty=h&amp;cp=34.0466~44.22&amp;sp=point.34.0466_44.22","Maplink3")</f>
        <v>Maplink3</v>
      </c>
    </row>
    <row r="484" spans="1:51" s="19" customFormat="1" x14ac:dyDescent="0.25">
      <c r="A484" s="9">
        <v>20921</v>
      </c>
      <c r="B484" s="10" t="s">
        <v>22</v>
      </c>
      <c r="C484" s="10" t="s">
        <v>633</v>
      </c>
      <c r="D484" s="10" t="s">
        <v>1192</v>
      </c>
      <c r="E484" s="10" t="s">
        <v>1193</v>
      </c>
      <c r="F484" s="10">
        <v>34.033575190000001</v>
      </c>
      <c r="G484" s="10">
        <v>44.205532410000004</v>
      </c>
      <c r="H484" s="10" t="s">
        <v>612</v>
      </c>
      <c r="I484" s="10" t="s">
        <v>636</v>
      </c>
      <c r="J484" s="10" t="s">
        <v>640</v>
      </c>
      <c r="K484" s="11">
        <v>475</v>
      </c>
      <c r="L484" s="11">
        <v>2850</v>
      </c>
      <c r="M484" s="11"/>
      <c r="N484" s="11"/>
      <c r="O484" s="11">
        <v>200</v>
      </c>
      <c r="P484" s="11"/>
      <c r="Q484" s="11"/>
      <c r="R484" s="11"/>
      <c r="S484" s="11">
        <v>83</v>
      </c>
      <c r="T484" s="11"/>
      <c r="U484" s="11">
        <v>70</v>
      </c>
      <c r="V484" s="11"/>
      <c r="W484" s="11"/>
      <c r="X484" s="11"/>
      <c r="Y484" s="11"/>
      <c r="Z484" s="11"/>
      <c r="AA484" s="11">
        <v>113</v>
      </c>
      <c r="AB484" s="11">
        <v>9</v>
      </c>
      <c r="AC484" s="11"/>
      <c r="AD484" s="11"/>
      <c r="AE484" s="11"/>
      <c r="AF484" s="11">
        <v>437</v>
      </c>
      <c r="AG484" s="11"/>
      <c r="AH484" s="11"/>
      <c r="AI484" s="11"/>
      <c r="AJ484" s="11"/>
      <c r="AK484" s="11"/>
      <c r="AL484" s="11">
        <v>38</v>
      </c>
      <c r="AM484" s="11"/>
      <c r="AN484" s="11"/>
      <c r="AO484" s="11"/>
      <c r="AP484" s="11"/>
      <c r="AQ484" s="11">
        <v>415</v>
      </c>
      <c r="AR484" s="11">
        <v>60</v>
      </c>
      <c r="AS484" s="11"/>
      <c r="AT484" s="11"/>
      <c r="AU484" s="11"/>
      <c r="AV484" s="11"/>
      <c r="AW484" s="20" t="str">
        <f>HYPERLINK("http://www.openstreetmap.org/?mlat=34.0336&amp;mlon=44.2055&amp;zoom=12#map=12/34.0336/44.2055","Maplink1")</f>
        <v>Maplink1</v>
      </c>
      <c r="AX484" s="20" t="str">
        <f>HYPERLINK("https://www.google.iq/maps/search/+34.0336,44.2055/@34.0336,44.2055,14z?hl=en","Maplink2")</f>
        <v>Maplink2</v>
      </c>
      <c r="AY484" s="20" t="str">
        <f>HYPERLINK("http://www.bing.com/maps/?lvl=14&amp;sty=h&amp;cp=34.0336~44.2055&amp;sp=point.34.0336_44.2055","Maplink3")</f>
        <v>Maplink3</v>
      </c>
    </row>
    <row r="485" spans="1:51" s="19" customFormat="1" x14ac:dyDescent="0.25">
      <c r="A485" s="9">
        <v>20767</v>
      </c>
      <c r="B485" s="10" t="s">
        <v>22</v>
      </c>
      <c r="C485" s="10" t="s">
        <v>633</v>
      </c>
      <c r="D485" s="10" t="s">
        <v>641</v>
      </c>
      <c r="E485" s="10" t="s">
        <v>642</v>
      </c>
      <c r="F485" s="10">
        <v>34.058075340000002</v>
      </c>
      <c r="G485" s="10">
        <v>44.217821950000001</v>
      </c>
      <c r="H485" s="10" t="s">
        <v>612</v>
      </c>
      <c r="I485" s="10" t="s">
        <v>636</v>
      </c>
      <c r="J485" s="10" t="s">
        <v>643</v>
      </c>
      <c r="K485" s="11">
        <v>450</v>
      </c>
      <c r="L485" s="11">
        <v>2700</v>
      </c>
      <c r="M485" s="11"/>
      <c r="N485" s="11"/>
      <c r="O485" s="11">
        <v>123</v>
      </c>
      <c r="P485" s="11"/>
      <c r="Q485" s="11"/>
      <c r="R485" s="11"/>
      <c r="S485" s="11">
        <v>14</v>
      </c>
      <c r="T485" s="11"/>
      <c r="U485" s="11">
        <v>100</v>
      </c>
      <c r="V485" s="11"/>
      <c r="W485" s="11"/>
      <c r="X485" s="11"/>
      <c r="Y485" s="11"/>
      <c r="Z485" s="11"/>
      <c r="AA485" s="11">
        <v>213</v>
      </c>
      <c r="AB485" s="11"/>
      <c r="AC485" s="11"/>
      <c r="AD485" s="11"/>
      <c r="AE485" s="11"/>
      <c r="AF485" s="11">
        <v>428</v>
      </c>
      <c r="AG485" s="11">
        <v>7</v>
      </c>
      <c r="AH485" s="11"/>
      <c r="AI485" s="11"/>
      <c r="AJ485" s="11"/>
      <c r="AK485" s="11"/>
      <c r="AL485" s="11">
        <v>15</v>
      </c>
      <c r="AM485" s="11"/>
      <c r="AN485" s="11"/>
      <c r="AO485" s="11"/>
      <c r="AP485" s="11"/>
      <c r="AQ485" s="11">
        <v>200</v>
      </c>
      <c r="AR485" s="11">
        <v>250</v>
      </c>
      <c r="AS485" s="11"/>
      <c r="AT485" s="11"/>
      <c r="AU485" s="11"/>
      <c r="AV485" s="11"/>
      <c r="AW485" s="20" t="str">
        <f>HYPERLINK("http://www.openstreetmap.org/?mlat=34.0581&amp;mlon=44.2178&amp;zoom=12#map=12/34.0581/44.2178","Maplink1")</f>
        <v>Maplink1</v>
      </c>
      <c r="AX485" s="20" t="str">
        <f>HYPERLINK("https://www.google.iq/maps/search/+34.0581,44.2178/@34.0581,44.2178,14z?hl=en","Maplink2")</f>
        <v>Maplink2</v>
      </c>
      <c r="AY485" s="20" t="str">
        <f>HYPERLINK("http://www.bing.com/maps/?lvl=14&amp;sty=h&amp;cp=34.0581~44.2178&amp;sp=point.34.0581_44.2178","Maplink3")</f>
        <v>Maplink3</v>
      </c>
    </row>
    <row r="486" spans="1:51" s="19" customFormat="1" x14ac:dyDescent="0.25">
      <c r="A486" s="9">
        <v>20773</v>
      </c>
      <c r="B486" s="10" t="s">
        <v>22</v>
      </c>
      <c r="C486" s="10" t="s">
        <v>633</v>
      </c>
      <c r="D486" s="10" t="s">
        <v>644</v>
      </c>
      <c r="E486" s="10" t="s">
        <v>645</v>
      </c>
      <c r="F486" s="10">
        <v>34.026709490000002</v>
      </c>
      <c r="G486" s="10">
        <v>44.281843780000003</v>
      </c>
      <c r="H486" s="10" t="s">
        <v>612</v>
      </c>
      <c r="I486" s="10" t="s">
        <v>636</v>
      </c>
      <c r="J486" s="10" t="s">
        <v>646</v>
      </c>
      <c r="K486" s="11">
        <v>440</v>
      </c>
      <c r="L486" s="11">
        <v>2640</v>
      </c>
      <c r="M486" s="11"/>
      <c r="N486" s="11"/>
      <c r="O486" s="11">
        <v>266</v>
      </c>
      <c r="P486" s="11"/>
      <c r="Q486" s="11"/>
      <c r="R486" s="11"/>
      <c r="S486" s="11"/>
      <c r="T486" s="11"/>
      <c r="U486" s="11">
        <v>51</v>
      </c>
      <c r="V486" s="11"/>
      <c r="W486" s="11"/>
      <c r="X486" s="11"/>
      <c r="Y486" s="11"/>
      <c r="Z486" s="11"/>
      <c r="AA486" s="11">
        <v>123</v>
      </c>
      <c r="AB486" s="11"/>
      <c r="AC486" s="11"/>
      <c r="AD486" s="11"/>
      <c r="AE486" s="11"/>
      <c r="AF486" s="11">
        <v>423</v>
      </c>
      <c r="AG486" s="11">
        <v>17</v>
      </c>
      <c r="AH486" s="11"/>
      <c r="AI486" s="11"/>
      <c r="AJ486" s="11"/>
      <c r="AK486" s="11"/>
      <c r="AL486" s="11"/>
      <c r="AM486" s="11"/>
      <c r="AN486" s="11"/>
      <c r="AO486" s="11"/>
      <c r="AP486" s="11"/>
      <c r="AQ486" s="11">
        <v>200</v>
      </c>
      <c r="AR486" s="11">
        <v>60</v>
      </c>
      <c r="AS486" s="11">
        <v>180</v>
      </c>
      <c r="AT486" s="11"/>
      <c r="AU486" s="11"/>
      <c r="AV486" s="11"/>
      <c r="AW486" s="20" t="str">
        <f>HYPERLINK("http://www.openstreetmap.org/?mlat=34.0267&amp;mlon=44.2818&amp;zoom=12#map=12/34.0267/44.2818","Maplink1")</f>
        <v>Maplink1</v>
      </c>
      <c r="AX486" s="20" t="str">
        <f>HYPERLINK("https://www.google.iq/maps/search/+34.0267,44.2818/@34.0267,44.2818,14z?hl=en","Maplink2")</f>
        <v>Maplink2</v>
      </c>
      <c r="AY486" s="20" t="str">
        <f>HYPERLINK("http://www.bing.com/maps/?lvl=14&amp;sty=h&amp;cp=34.0267~44.2818&amp;sp=point.34.0267_44.2818","Maplink3")</f>
        <v>Maplink3</v>
      </c>
    </row>
    <row r="487" spans="1:51" s="19" customFormat="1" x14ac:dyDescent="0.25">
      <c r="A487" s="9">
        <v>29565</v>
      </c>
      <c r="B487" s="10" t="s">
        <v>22</v>
      </c>
      <c r="C487" s="10" t="s">
        <v>633</v>
      </c>
      <c r="D487" s="10" t="s">
        <v>647</v>
      </c>
      <c r="E487" s="10" t="s">
        <v>648</v>
      </c>
      <c r="F487" s="10">
        <v>34.032385730000001</v>
      </c>
      <c r="G487" s="10">
        <v>44.236536600000001</v>
      </c>
      <c r="H487" s="10" t="s">
        <v>612</v>
      </c>
      <c r="I487" s="10" t="s">
        <v>636</v>
      </c>
      <c r="J487" s="10"/>
      <c r="K487" s="11">
        <v>2100</v>
      </c>
      <c r="L487" s="11">
        <v>12600</v>
      </c>
      <c r="M487" s="11"/>
      <c r="N487" s="11"/>
      <c r="O487" s="11">
        <v>80</v>
      </c>
      <c r="P487" s="11"/>
      <c r="Q487" s="11"/>
      <c r="R487" s="11"/>
      <c r="S487" s="11"/>
      <c r="T487" s="11"/>
      <c r="U487" s="11">
        <v>65</v>
      </c>
      <c r="V487" s="11"/>
      <c r="W487" s="11"/>
      <c r="X487" s="11"/>
      <c r="Y487" s="11"/>
      <c r="Z487" s="11"/>
      <c r="AA487" s="11">
        <v>1955</v>
      </c>
      <c r="AB487" s="11"/>
      <c r="AC487" s="11"/>
      <c r="AD487" s="11"/>
      <c r="AE487" s="11"/>
      <c r="AF487" s="11">
        <v>1921</v>
      </c>
      <c r="AG487" s="11">
        <v>109</v>
      </c>
      <c r="AH487" s="11"/>
      <c r="AI487" s="11"/>
      <c r="AJ487" s="11"/>
      <c r="AK487" s="11"/>
      <c r="AL487" s="11">
        <v>70</v>
      </c>
      <c r="AM487" s="11"/>
      <c r="AN487" s="11"/>
      <c r="AO487" s="11"/>
      <c r="AP487" s="11"/>
      <c r="AQ487" s="11"/>
      <c r="AR487" s="11">
        <v>628</v>
      </c>
      <c r="AS487" s="11">
        <v>293</v>
      </c>
      <c r="AT487" s="11"/>
      <c r="AU487" s="11">
        <v>1079</v>
      </c>
      <c r="AV487" s="11">
        <v>100</v>
      </c>
      <c r="AW487" s="20" t="str">
        <f>HYPERLINK("http://www.openstreetmap.org/?mlat=34.0324&amp;mlon=44.2365&amp;zoom=12#map=12/34.0324/44.2365","Maplink1")</f>
        <v>Maplink1</v>
      </c>
      <c r="AX487" s="20" t="str">
        <f>HYPERLINK("https://www.google.iq/maps/search/+34.0324,44.2365/@34.0324,44.2365,14z?hl=en","Maplink2")</f>
        <v>Maplink2</v>
      </c>
      <c r="AY487" s="20" t="str">
        <f>HYPERLINK("http://www.bing.com/maps/?lvl=14&amp;sty=h&amp;cp=34.0324~44.2365&amp;sp=point.34.0324_44.2365","Maplink3")</f>
        <v>Maplink3</v>
      </c>
    </row>
    <row r="488" spans="1:51" s="19" customFormat="1" x14ac:dyDescent="0.25">
      <c r="A488" s="9">
        <v>23781</v>
      </c>
      <c r="B488" s="10" t="s">
        <v>22</v>
      </c>
      <c r="C488" s="10" t="s">
        <v>649</v>
      </c>
      <c r="D488" s="10" t="s">
        <v>918</v>
      </c>
      <c r="E488" s="10" t="s">
        <v>1451</v>
      </c>
      <c r="F488" s="10">
        <v>34.078442189999997</v>
      </c>
      <c r="G488" s="10">
        <v>44.05397859</v>
      </c>
      <c r="H488" s="10" t="s">
        <v>612</v>
      </c>
      <c r="I488" s="10" t="s">
        <v>650</v>
      </c>
      <c r="J488" s="10" t="s">
        <v>919</v>
      </c>
      <c r="K488" s="11">
        <v>287</v>
      </c>
      <c r="L488" s="11">
        <v>1722</v>
      </c>
      <c r="M488" s="11"/>
      <c r="N488" s="11"/>
      <c r="O488" s="11"/>
      <c r="P488" s="11"/>
      <c r="Q488" s="11"/>
      <c r="R488" s="11"/>
      <c r="S488" s="11">
        <v>11</v>
      </c>
      <c r="T488" s="11"/>
      <c r="U488" s="11">
        <v>18</v>
      </c>
      <c r="V488" s="11"/>
      <c r="W488" s="11"/>
      <c r="X488" s="11"/>
      <c r="Y488" s="11"/>
      <c r="Z488" s="11"/>
      <c r="AA488" s="11">
        <v>251</v>
      </c>
      <c r="AB488" s="11">
        <v>7</v>
      </c>
      <c r="AC488" s="11"/>
      <c r="AD488" s="11"/>
      <c r="AE488" s="11"/>
      <c r="AF488" s="11">
        <v>271</v>
      </c>
      <c r="AG488" s="11"/>
      <c r="AH488" s="11"/>
      <c r="AI488" s="11">
        <v>16</v>
      </c>
      <c r="AJ488" s="11"/>
      <c r="AK488" s="11"/>
      <c r="AL488" s="11"/>
      <c r="AM488" s="11"/>
      <c r="AN488" s="11"/>
      <c r="AO488" s="11"/>
      <c r="AP488" s="11">
        <v>216</v>
      </c>
      <c r="AQ488" s="11"/>
      <c r="AR488" s="11">
        <v>71</v>
      </c>
      <c r="AS488" s="11"/>
      <c r="AT488" s="11"/>
      <c r="AU488" s="11"/>
      <c r="AV488" s="11"/>
      <c r="AW488" s="20" t="str">
        <f>HYPERLINK("http://www.openstreetmap.org/?mlat=34.0784&amp;mlon=44.054&amp;zoom=12#map=12/34.0784/44.054","Maplink1")</f>
        <v>Maplink1</v>
      </c>
      <c r="AX488" s="20" t="str">
        <f>HYPERLINK("https://www.google.iq/maps/search/+34.0784,44.054/@34.0784,44.054,14z?hl=en","Maplink2")</f>
        <v>Maplink2</v>
      </c>
      <c r="AY488" s="20" t="str">
        <f>HYPERLINK("http://www.bing.com/maps/?lvl=14&amp;sty=h&amp;cp=34.0784~44.054&amp;sp=point.34.0784_44.054","Maplink3")</f>
        <v>Maplink3</v>
      </c>
    </row>
    <row r="489" spans="1:51" s="19" customFormat="1" x14ac:dyDescent="0.25">
      <c r="A489" s="9">
        <v>20695</v>
      </c>
      <c r="B489" s="10" t="s">
        <v>22</v>
      </c>
      <c r="C489" s="10" t="s">
        <v>649</v>
      </c>
      <c r="D489" s="10" t="s">
        <v>1194</v>
      </c>
      <c r="E489" s="10" t="s">
        <v>1195</v>
      </c>
      <c r="F489" s="10">
        <v>34.29937718</v>
      </c>
      <c r="G489" s="10">
        <v>43.783179339999997</v>
      </c>
      <c r="H489" s="10" t="s">
        <v>612</v>
      </c>
      <c r="I489" s="10" t="s">
        <v>650</v>
      </c>
      <c r="J489" s="10" t="s">
        <v>920</v>
      </c>
      <c r="K489" s="11">
        <v>286</v>
      </c>
      <c r="L489" s="11">
        <v>1716</v>
      </c>
      <c r="M489" s="11"/>
      <c r="N489" s="11"/>
      <c r="O489" s="11"/>
      <c r="P489" s="11"/>
      <c r="Q489" s="11"/>
      <c r="R489" s="11"/>
      <c r="S489" s="11">
        <v>8</v>
      </c>
      <c r="T489" s="11"/>
      <c r="U489" s="11">
        <v>21</v>
      </c>
      <c r="V489" s="11"/>
      <c r="W489" s="11"/>
      <c r="X489" s="11"/>
      <c r="Y489" s="11"/>
      <c r="Z489" s="11"/>
      <c r="AA489" s="11">
        <v>247</v>
      </c>
      <c r="AB489" s="11">
        <v>10</v>
      </c>
      <c r="AC489" s="11"/>
      <c r="AD489" s="11"/>
      <c r="AE489" s="11"/>
      <c r="AF489" s="11">
        <v>283</v>
      </c>
      <c r="AG489" s="11">
        <v>3</v>
      </c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>
        <v>283</v>
      </c>
      <c r="AT489" s="11">
        <v>3</v>
      </c>
      <c r="AU489" s="11"/>
      <c r="AV489" s="11"/>
      <c r="AW489" s="20" t="str">
        <f>HYPERLINK("http://www.openstreetmap.org/?mlat=34.2994&amp;mlon=43.7832&amp;zoom=12#map=12/34.2994/43.7832","Maplink1")</f>
        <v>Maplink1</v>
      </c>
      <c r="AX489" s="20" t="str">
        <f>HYPERLINK("https://www.google.iq/maps/search/+34.2994,43.7832/@34.2994,43.7832,14z?hl=en","Maplink2")</f>
        <v>Maplink2</v>
      </c>
      <c r="AY489" s="20" t="str">
        <f>HYPERLINK("http://www.bing.com/maps/?lvl=14&amp;sty=h&amp;cp=34.2994~43.7832&amp;sp=point.34.2994_43.7832","Maplink3")</f>
        <v>Maplink3</v>
      </c>
    </row>
    <row r="490" spans="1:51" s="19" customFormat="1" x14ac:dyDescent="0.25">
      <c r="A490" s="9">
        <v>20674</v>
      </c>
      <c r="B490" s="10" t="s">
        <v>22</v>
      </c>
      <c r="C490" s="10" t="s">
        <v>649</v>
      </c>
      <c r="D490" s="10" t="s">
        <v>921</v>
      </c>
      <c r="E490" s="10" t="s">
        <v>1196</v>
      </c>
      <c r="F490" s="10">
        <v>34.202021160000001</v>
      </c>
      <c r="G490" s="10">
        <v>43.811763470000002</v>
      </c>
      <c r="H490" s="10" t="s">
        <v>612</v>
      </c>
      <c r="I490" s="10" t="s">
        <v>650</v>
      </c>
      <c r="J490" s="10" t="s">
        <v>922</v>
      </c>
      <c r="K490" s="11">
        <v>391</v>
      </c>
      <c r="L490" s="11">
        <v>2346</v>
      </c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>
        <v>391</v>
      </c>
      <c r="AB490" s="11"/>
      <c r="AC490" s="11"/>
      <c r="AD490" s="11"/>
      <c r="AE490" s="11"/>
      <c r="AF490" s="11">
        <v>391</v>
      </c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>
        <v>391</v>
      </c>
      <c r="AU490" s="11"/>
      <c r="AV490" s="11"/>
      <c r="AW490" s="20" t="str">
        <f>HYPERLINK("http://www.openstreetmap.org/?mlat=34.202&amp;mlon=43.8118&amp;zoom=12#map=12/34.202/43.8118","Maplink1")</f>
        <v>Maplink1</v>
      </c>
      <c r="AX490" s="20" t="str">
        <f>HYPERLINK("https://www.google.iq/maps/search/+34.202,43.8118/@34.202,43.8118,14z?hl=en","Maplink2")</f>
        <v>Maplink2</v>
      </c>
      <c r="AY490" s="20" t="str">
        <f>HYPERLINK("http://www.bing.com/maps/?lvl=14&amp;sty=h&amp;cp=34.202~43.8118&amp;sp=point.34.202_43.8118","Maplink3")</f>
        <v>Maplink3</v>
      </c>
    </row>
    <row r="491" spans="1:51" s="19" customFormat="1" x14ac:dyDescent="0.25">
      <c r="A491" s="9">
        <v>20673</v>
      </c>
      <c r="B491" s="10" t="s">
        <v>22</v>
      </c>
      <c r="C491" s="10" t="s">
        <v>649</v>
      </c>
      <c r="D491" s="10" t="s">
        <v>651</v>
      </c>
      <c r="E491" s="10" t="s">
        <v>652</v>
      </c>
      <c r="F491" s="10">
        <v>34.224467769999997</v>
      </c>
      <c r="G491" s="10">
        <v>43.993904909999998</v>
      </c>
      <c r="H491" s="10" t="s">
        <v>612</v>
      </c>
      <c r="I491" s="10" t="s">
        <v>650</v>
      </c>
      <c r="J491" s="10" t="s">
        <v>653</v>
      </c>
      <c r="K491" s="11">
        <v>681</v>
      </c>
      <c r="L491" s="11">
        <v>4086</v>
      </c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>
        <v>681</v>
      </c>
      <c r="AB491" s="11"/>
      <c r="AC491" s="11"/>
      <c r="AD491" s="11"/>
      <c r="AE491" s="11"/>
      <c r="AF491" s="11">
        <v>681</v>
      </c>
      <c r="AG491" s="11"/>
      <c r="AH491" s="11"/>
      <c r="AI491" s="11"/>
      <c r="AJ491" s="11"/>
      <c r="AK491" s="11"/>
      <c r="AL491" s="11"/>
      <c r="AM491" s="11"/>
      <c r="AN491" s="11"/>
      <c r="AO491" s="11"/>
      <c r="AP491" s="11">
        <v>269</v>
      </c>
      <c r="AQ491" s="11"/>
      <c r="AR491" s="11"/>
      <c r="AS491" s="11">
        <v>412</v>
      </c>
      <c r="AT491" s="11"/>
      <c r="AU491" s="11"/>
      <c r="AV491" s="11"/>
      <c r="AW491" s="20" t="str">
        <f>HYPERLINK("http://www.openstreetmap.org/?mlat=34.2245&amp;mlon=43.9939&amp;zoom=12#map=12/34.2245/43.9939","Maplink1")</f>
        <v>Maplink1</v>
      </c>
      <c r="AX491" s="20" t="str">
        <f>HYPERLINK("https://www.google.iq/maps/search/+34.2245,43.9939/@34.2245,43.9939,14z?hl=en","Maplink2")</f>
        <v>Maplink2</v>
      </c>
      <c r="AY491" s="20" t="str">
        <f>HYPERLINK("http://www.bing.com/maps/?lvl=14&amp;sty=h&amp;cp=34.2245~43.9939&amp;sp=point.34.2245_43.9939","Maplink3")</f>
        <v>Maplink3</v>
      </c>
    </row>
    <row r="492" spans="1:51" s="19" customFormat="1" x14ac:dyDescent="0.25">
      <c r="A492" s="9">
        <v>23774</v>
      </c>
      <c r="B492" s="10" t="s">
        <v>22</v>
      </c>
      <c r="C492" s="10" t="s">
        <v>649</v>
      </c>
      <c r="D492" s="10" t="s">
        <v>654</v>
      </c>
      <c r="E492" s="10" t="s">
        <v>1197</v>
      </c>
      <c r="F492" s="10">
        <v>34.072896729999997</v>
      </c>
      <c r="G492" s="10">
        <v>44.096312150000003</v>
      </c>
      <c r="H492" s="10" t="s">
        <v>612</v>
      </c>
      <c r="I492" s="10" t="s">
        <v>650</v>
      </c>
      <c r="J492" s="10" t="s">
        <v>655</v>
      </c>
      <c r="K492" s="11">
        <v>352</v>
      </c>
      <c r="L492" s="11">
        <v>2112</v>
      </c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>
        <v>352</v>
      </c>
      <c r="AB492" s="11"/>
      <c r="AC492" s="11"/>
      <c r="AD492" s="11"/>
      <c r="AE492" s="11"/>
      <c r="AF492" s="11">
        <v>352</v>
      </c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>
        <v>352</v>
      </c>
      <c r="AS492" s="11"/>
      <c r="AT492" s="11"/>
      <c r="AU492" s="11"/>
      <c r="AV492" s="11"/>
      <c r="AW492" s="20" t="str">
        <f>HYPERLINK("http://www.openstreetmap.org/?mlat=34.0729&amp;mlon=44.0963&amp;zoom=12#map=12/34.0729/44.0963","Maplink1")</f>
        <v>Maplink1</v>
      </c>
      <c r="AX492" s="20" t="str">
        <f>HYPERLINK("https://www.google.iq/maps/search/+34.0729,44.0963/@34.0729,44.0963,14z?hl=en","Maplink2")</f>
        <v>Maplink2</v>
      </c>
      <c r="AY492" s="20" t="str">
        <f>HYPERLINK("http://www.bing.com/maps/?lvl=14&amp;sty=h&amp;cp=34.0729~44.0963&amp;sp=point.34.0729_44.0963","Maplink3")</f>
        <v>Maplink3</v>
      </c>
    </row>
    <row r="493" spans="1:51" s="19" customFormat="1" x14ac:dyDescent="0.25">
      <c r="A493" s="9">
        <v>23775</v>
      </c>
      <c r="B493" s="10" t="s">
        <v>22</v>
      </c>
      <c r="C493" s="10" t="s">
        <v>649</v>
      </c>
      <c r="D493" s="10" t="s">
        <v>656</v>
      </c>
      <c r="E493" s="10" t="s">
        <v>1198</v>
      </c>
      <c r="F493" s="10">
        <v>34.075947909999996</v>
      </c>
      <c r="G493" s="10">
        <v>44.070146700000002</v>
      </c>
      <c r="H493" s="10" t="s">
        <v>612</v>
      </c>
      <c r="I493" s="10" t="s">
        <v>650</v>
      </c>
      <c r="J493" s="10" t="s">
        <v>657</v>
      </c>
      <c r="K493" s="11">
        <v>198</v>
      </c>
      <c r="L493" s="11">
        <v>1188</v>
      </c>
      <c r="M493" s="11"/>
      <c r="N493" s="11"/>
      <c r="O493" s="11"/>
      <c r="P493" s="11"/>
      <c r="Q493" s="11"/>
      <c r="R493" s="11"/>
      <c r="S493" s="11"/>
      <c r="T493" s="11"/>
      <c r="U493" s="11">
        <v>39</v>
      </c>
      <c r="V493" s="11"/>
      <c r="W493" s="11"/>
      <c r="X493" s="11"/>
      <c r="Y493" s="11"/>
      <c r="Z493" s="11"/>
      <c r="AA493" s="11">
        <v>136</v>
      </c>
      <c r="AB493" s="11">
        <v>23</v>
      </c>
      <c r="AC493" s="11"/>
      <c r="AD493" s="11"/>
      <c r="AE493" s="11"/>
      <c r="AF493" s="11">
        <v>198</v>
      </c>
      <c r="AG493" s="11"/>
      <c r="AH493" s="11"/>
      <c r="AI493" s="11"/>
      <c r="AJ493" s="11"/>
      <c r="AK493" s="11"/>
      <c r="AL493" s="11"/>
      <c r="AM493" s="11"/>
      <c r="AN493" s="11"/>
      <c r="AO493" s="11"/>
      <c r="AP493" s="11">
        <v>160</v>
      </c>
      <c r="AQ493" s="11"/>
      <c r="AR493" s="11">
        <v>38</v>
      </c>
      <c r="AS493" s="11"/>
      <c r="AT493" s="11"/>
      <c r="AU493" s="11"/>
      <c r="AV493" s="11"/>
      <c r="AW493" s="20" t="str">
        <f>HYPERLINK("http://www.openstreetmap.org/?mlat=34.0759&amp;mlon=44.0701&amp;zoom=12#map=12/34.0759/44.0701","Maplink1")</f>
        <v>Maplink1</v>
      </c>
      <c r="AX493" s="20" t="str">
        <f>HYPERLINK("https://www.google.iq/maps/search/+34.0759,44.0701/@34.0759,44.0701,14z?hl=en","Maplink2")</f>
        <v>Maplink2</v>
      </c>
      <c r="AY493" s="20" t="str">
        <f>HYPERLINK("http://www.bing.com/maps/?lvl=14&amp;sty=h&amp;cp=34.0759~44.0701&amp;sp=point.34.0759_44.0701","Maplink3")</f>
        <v>Maplink3</v>
      </c>
    </row>
    <row r="494" spans="1:51" s="19" customFormat="1" x14ac:dyDescent="0.25">
      <c r="A494" s="9">
        <v>20752</v>
      </c>
      <c r="B494" s="10" t="s">
        <v>22</v>
      </c>
      <c r="C494" s="10" t="s">
        <v>649</v>
      </c>
      <c r="D494" s="10" t="s">
        <v>658</v>
      </c>
      <c r="E494" s="10" t="s">
        <v>1452</v>
      </c>
      <c r="F494" s="10">
        <v>34.368115000000003</v>
      </c>
      <c r="G494" s="10">
        <v>43.660998999999997</v>
      </c>
      <c r="H494" s="10" t="s">
        <v>612</v>
      </c>
      <c r="I494" s="10" t="s">
        <v>650</v>
      </c>
      <c r="J494" s="10" t="s">
        <v>659</v>
      </c>
      <c r="K494" s="11">
        <v>1893</v>
      </c>
      <c r="L494" s="11">
        <v>11358</v>
      </c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>
        <v>1893</v>
      </c>
      <c r="AB494" s="11"/>
      <c r="AC494" s="11"/>
      <c r="AD494" s="11"/>
      <c r="AE494" s="11"/>
      <c r="AF494" s="11">
        <v>1893</v>
      </c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>
        <v>201</v>
      </c>
      <c r="AU494" s="11">
        <v>1679</v>
      </c>
      <c r="AV494" s="11">
        <v>13</v>
      </c>
      <c r="AW494" s="20" t="str">
        <f>HYPERLINK("http://www.openstreetmap.org/?mlat=34.3681&amp;mlon=43.661&amp;zoom=12#map=12/34.3681/43.661","Maplink1")</f>
        <v>Maplink1</v>
      </c>
      <c r="AX494" s="20" t="str">
        <f>HYPERLINK("https://www.google.iq/maps/search/+34.3681,43.661/@34.3681,43.661,14z?hl=en","Maplink2")</f>
        <v>Maplink2</v>
      </c>
      <c r="AY494" s="20" t="str">
        <f>HYPERLINK("http://www.bing.com/maps/?lvl=14&amp;sty=h&amp;cp=34.3681~43.661&amp;sp=point.34.3681_43.661","Maplink3")</f>
        <v>Maplink3</v>
      </c>
    </row>
    <row r="495" spans="1:51" s="19" customFormat="1" x14ac:dyDescent="0.25">
      <c r="A495" s="9">
        <v>25926</v>
      </c>
      <c r="B495" s="10" t="s">
        <v>22</v>
      </c>
      <c r="C495" s="10" t="s">
        <v>649</v>
      </c>
      <c r="D495" s="10" t="s">
        <v>810</v>
      </c>
      <c r="E495" s="10" t="s">
        <v>660</v>
      </c>
      <c r="F495" s="10">
        <v>34.261235239999998</v>
      </c>
      <c r="G495" s="10">
        <v>43.884669180000003</v>
      </c>
      <c r="H495" s="10" t="s">
        <v>612</v>
      </c>
      <c r="I495" s="10" t="s">
        <v>650</v>
      </c>
      <c r="J495" s="10"/>
      <c r="K495" s="11">
        <v>435</v>
      </c>
      <c r="L495" s="11">
        <v>2610</v>
      </c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>
        <v>435</v>
      </c>
      <c r="AB495" s="11"/>
      <c r="AC495" s="11"/>
      <c r="AD495" s="11"/>
      <c r="AE495" s="11"/>
      <c r="AF495" s="11">
        <v>435</v>
      </c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>
        <v>435</v>
      </c>
      <c r="AT495" s="11"/>
      <c r="AU495" s="11"/>
      <c r="AV495" s="11"/>
      <c r="AW495" s="20" t="str">
        <f>HYPERLINK("http://www.openstreetmap.org/?mlat=34.2612&amp;mlon=43.8847&amp;zoom=12#map=12/34.2612/43.8847","Maplink1")</f>
        <v>Maplink1</v>
      </c>
      <c r="AX495" s="20" t="str">
        <f>HYPERLINK("https://www.google.iq/maps/search/+34.2612,43.8847/@34.2612,43.8847,14z?hl=en","Maplink2")</f>
        <v>Maplink2</v>
      </c>
      <c r="AY495" s="20" t="str">
        <f>HYPERLINK("http://www.bing.com/maps/?lvl=14&amp;sty=h&amp;cp=34.2612~43.8847&amp;sp=point.34.2612_43.8847","Maplink3")</f>
        <v>Maplink3</v>
      </c>
    </row>
    <row r="496" spans="1:51" s="19" customFormat="1" x14ac:dyDescent="0.25">
      <c r="A496" s="9">
        <v>29539</v>
      </c>
      <c r="B496" s="10" t="s">
        <v>22</v>
      </c>
      <c r="C496" s="10" t="s">
        <v>649</v>
      </c>
      <c r="D496" s="10" t="s">
        <v>923</v>
      </c>
      <c r="E496" s="10" t="s">
        <v>1199</v>
      </c>
      <c r="F496" s="10">
        <v>34.371761820000003</v>
      </c>
      <c r="G496" s="10">
        <v>43.762534619999997</v>
      </c>
      <c r="H496" s="10" t="s">
        <v>612</v>
      </c>
      <c r="I496" s="10" t="s">
        <v>650</v>
      </c>
      <c r="J496" s="10"/>
      <c r="K496" s="11">
        <v>2440</v>
      </c>
      <c r="L496" s="11">
        <v>14640</v>
      </c>
      <c r="M496" s="11"/>
      <c r="N496" s="11"/>
      <c r="O496" s="11">
        <v>215</v>
      </c>
      <c r="P496" s="11"/>
      <c r="Q496" s="11"/>
      <c r="R496" s="11"/>
      <c r="S496" s="11">
        <v>23</v>
      </c>
      <c r="T496" s="11"/>
      <c r="U496" s="11">
        <v>55</v>
      </c>
      <c r="V496" s="11"/>
      <c r="W496" s="11"/>
      <c r="X496" s="11"/>
      <c r="Y496" s="11"/>
      <c r="Z496" s="11"/>
      <c r="AA496" s="11">
        <v>2117</v>
      </c>
      <c r="AB496" s="11">
        <v>30</v>
      </c>
      <c r="AC496" s="11"/>
      <c r="AD496" s="11"/>
      <c r="AE496" s="11"/>
      <c r="AF496" s="11">
        <v>2040</v>
      </c>
      <c r="AG496" s="11"/>
      <c r="AH496" s="11"/>
      <c r="AI496" s="11">
        <v>400</v>
      </c>
      <c r="AJ496" s="11"/>
      <c r="AK496" s="11"/>
      <c r="AL496" s="11"/>
      <c r="AM496" s="11"/>
      <c r="AN496" s="11"/>
      <c r="AO496" s="11"/>
      <c r="AP496" s="11">
        <v>1400</v>
      </c>
      <c r="AQ496" s="11">
        <v>490</v>
      </c>
      <c r="AR496" s="11">
        <v>220</v>
      </c>
      <c r="AS496" s="11">
        <v>330</v>
      </c>
      <c r="AT496" s="11"/>
      <c r="AU496" s="11"/>
      <c r="AV496" s="11"/>
      <c r="AW496" s="20" t="str">
        <f>HYPERLINK("http://www.openstreetmap.org/?mlat=34.3718&amp;mlon=43.7625&amp;zoom=12#map=12/34.3718/43.7625","Maplink1")</f>
        <v>Maplink1</v>
      </c>
      <c r="AX496" s="20" t="str">
        <f>HYPERLINK("https://www.google.iq/maps/search/+34.3718,43.7625/@34.3718,43.7625,14z?hl=en","Maplink2")</f>
        <v>Maplink2</v>
      </c>
      <c r="AY496" s="20" t="str">
        <f>HYPERLINK("http://www.bing.com/maps/?lvl=14&amp;sty=h&amp;cp=34.3718~43.7625&amp;sp=point.34.3718_43.7625","Maplink3")</f>
        <v>Maplink3</v>
      </c>
    </row>
    <row r="497" spans="1:51" s="19" customFormat="1" x14ac:dyDescent="0.25">
      <c r="A497" s="9">
        <v>23702</v>
      </c>
      <c r="B497" s="10" t="s">
        <v>22</v>
      </c>
      <c r="C497" s="10" t="s">
        <v>661</v>
      </c>
      <c r="D497" s="10" t="s">
        <v>1200</v>
      </c>
      <c r="E497" s="10" t="s">
        <v>1453</v>
      </c>
      <c r="F497" s="10">
        <v>34.664178589999999</v>
      </c>
      <c r="G497" s="10">
        <v>43.65701859</v>
      </c>
      <c r="H497" s="10" t="s">
        <v>612</v>
      </c>
      <c r="I497" s="10" t="s">
        <v>663</v>
      </c>
      <c r="J497" s="10" t="s">
        <v>670</v>
      </c>
      <c r="K497" s="11">
        <v>1268</v>
      </c>
      <c r="L497" s="11">
        <v>7608</v>
      </c>
      <c r="M497" s="11"/>
      <c r="N497" s="11"/>
      <c r="O497" s="11">
        <v>100</v>
      </c>
      <c r="P497" s="11"/>
      <c r="Q497" s="11">
        <v>100</v>
      </c>
      <c r="R497" s="11"/>
      <c r="S497" s="11">
        <v>300</v>
      </c>
      <c r="T497" s="11"/>
      <c r="U497" s="11">
        <v>445</v>
      </c>
      <c r="V497" s="11"/>
      <c r="W497" s="11"/>
      <c r="X497" s="11"/>
      <c r="Y497" s="11"/>
      <c r="Z497" s="11"/>
      <c r="AA497" s="11">
        <v>283</v>
      </c>
      <c r="AB497" s="11">
        <v>40</v>
      </c>
      <c r="AC497" s="11"/>
      <c r="AD497" s="11"/>
      <c r="AE497" s="11"/>
      <c r="AF497" s="11">
        <v>1126</v>
      </c>
      <c r="AG497" s="11"/>
      <c r="AH497" s="11"/>
      <c r="AI497" s="11">
        <v>30</v>
      </c>
      <c r="AJ497" s="11"/>
      <c r="AK497" s="11"/>
      <c r="AL497" s="11">
        <v>112</v>
      </c>
      <c r="AM497" s="11"/>
      <c r="AN497" s="11"/>
      <c r="AO497" s="11"/>
      <c r="AP497" s="11"/>
      <c r="AQ497" s="11">
        <v>606</v>
      </c>
      <c r="AR497" s="11">
        <v>400</v>
      </c>
      <c r="AS497" s="11">
        <v>85</v>
      </c>
      <c r="AT497" s="11"/>
      <c r="AU497" s="11">
        <v>177</v>
      </c>
      <c r="AV497" s="11"/>
      <c r="AW497" s="20" t="str">
        <f>HYPERLINK("http://www.openstreetmap.org/?mlat=34.6642&amp;mlon=43.657&amp;zoom=12#map=12/34.6642/43.657","Maplink1")</f>
        <v>Maplink1</v>
      </c>
      <c r="AX497" s="20" t="str">
        <f>HYPERLINK("https://www.google.iq/maps/search/+34.6642,43.657/@34.6642,43.657,14z?hl=en","Maplink2")</f>
        <v>Maplink2</v>
      </c>
      <c r="AY497" s="20" t="str">
        <f>HYPERLINK("http://www.bing.com/maps/?lvl=14&amp;sty=h&amp;cp=34.6642~43.657&amp;sp=point.34.6642_43.657","Maplink3")</f>
        <v>Maplink3</v>
      </c>
    </row>
    <row r="498" spans="1:51" s="19" customFormat="1" x14ac:dyDescent="0.25">
      <c r="A498" s="9">
        <v>23145</v>
      </c>
      <c r="B498" s="10" t="s">
        <v>22</v>
      </c>
      <c r="C498" s="10" t="s">
        <v>661</v>
      </c>
      <c r="D498" s="10" t="s">
        <v>662</v>
      </c>
      <c r="E498" s="10" t="s">
        <v>1201</v>
      </c>
      <c r="F498" s="10">
        <v>34.725979170000002</v>
      </c>
      <c r="G498" s="10">
        <v>43.694854079999999</v>
      </c>
      <c r="H498" s="10" t="s">
        <v>612</v>
      </c>
      <c r="I498" s="10" t="s">
        <v>663</v>
      </c>
      <c r="J498" s="10" t="s">
        <v>664</v>
      </c>
      <c r="K498" s="11">
        <v>750</v>
      </c>
      <c r="L498" s="11">
        <v>4500</v>
      </c>
      <c r="M498" s="11"/>
      <c r="N498" s="11"/>
      <c r="O498" s="11">
        <v>33</v>
      </c>
      <c r="P498" s="11"/>
      <c r="Q498" s="11"/>
      <c r="R498" s="11"/>
      <c r="S498" s="11">
        <v>38</v>
      </c>
      <c r="T498" s="11"/>
      <c r="U498" s="11">
        <v>409</v>
      </c>
      <c r="V498" s="11"/>
      <c r="W498" s="11"/>
      <c r="X498" s="11"/>
      <c r="Y498" s="11"/>
      <c r="Z498" s="11"/>
      <c r="AA498" s="11">
        <v>253</v>
      </c>
      <c r="AB498" s="11">
        <v>17</v>
      </c>
      <c r="AC498" s="11"/>
      <c r="AD498" s="11"/>
      <c r="AE498" s="11"/>
      <c r="AF498" s="11">
        <v>750</v>
      </c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>
        <v>400</v>
      </c>
      <c r="AR498" s="11">
        <v>350</v>
      </c>
      <c r="AS498" s="11"/>
      <c r="AT498" s="11"/>
      <c r="AU498" s="11"/>
      <c r="AV498" s="11"/>
      <c r="AW498" s="20" t="str">
        <f>HYPERLINK("http://www.openstreetmap.org/?mlat=34.726&amp;mlon=43.6949&amp;zoom=12#map=12/34.726/43.6949","Maplink1")</f>
        <v>Maplink1</v>
      </c>
      <c r="AX498" s="20" t="str">
        <f>HYPERLINK("https://www.google.iq/maps/search/+34.726,43.6949/@34.726,43.6949,14z?hl=en","Maplink2")</f>
        <v>Maplink2</v>
      </c>
      <c r="AY498" s="20" t="str">
        <f>HYPERLINK("http://www.bing.com/maps/?lvl=14&amp;sty=h&amp;cp=34.726~43.6949&amp;sp=point.34.726_43.6949","Maplink3")</f>
        <v>Maplink3</v>
      </c>
    </row>
    <row r="499" spans="1:51" s="19" customFormat="1" x14ac:dyDescent="0.25">
      <c r="A499" s="9">
        <v>25949</v>
      </c>
      <c r="B499" s="10" t="s">
        <v>22</v>
      </c>
      <c r="C499" s="10" t="s">
        <v>661</v>
      </c>
      <c r="D499" s="10" t="s">
        <v>811</v>
      </c>
      <c r="E499" s="10" t="s">
        <v>1202</v>
      </c>
      <c r="F499" s="10">
        <v>34.87631768</v>
      </c>
      <c r="G499" s="10">
        <v>43.580709319999997</v>
      </c>
      <c r="H499" s="10" t="s">
        <v>612</v>
      </c>
      <c r="I499" s="10" t="s">
        <v>663</v>
      </c>
      <c r="J499" s="10"/>
      <c r="K499" s="11">
        <v>400</v>
      </c>
      <c r="L499" s="11">
        <v>2400</v>
      </c>
      <c r="M499" s="11"/>
      <c r="N499" s="11"/>
      <c r="O499" s="11"/>
      <c r="P499" s="11"/>
      <c r="Q499" s="11"/>
      <c r="R499" s="11"/>
      <c r="S499" s="11"/>
      <c r="T499" s="11"/>
      <c r="U499" s="11">
        <v>200</v>
      </c>
      <c r="V499" s="11"/>
      <c r="W499" s="11"/>
      <c r="X499" s="11"/>
      <c r="Y499" s="11"/>
      <c r="Z499" s="11"/>
      <c r="AA499" s="11">
        <v>200</v>
      </c>
      <c r="AB499" s="11"/>
      <c r="AC499" s="11"/>
      <c r="AD499" s="11"/>
      <c r="AE499" s="11"/>
      <c r="AF499" s="11">
        <v>390</v>
      </c>
      <c r="AG499" s="11"/>
      <c r="AH499" s="11"/>
      <c r="AI499" s="11">
        <v>10</v>
      </c>
      <c r="AJ499" s="11"/>
      <c r="AK499" s="11"/>
      <c r="AL499" s="11"/>
      <c r="AM499" s="11"/>
      <c r="AN499" s="11"/>
      <c r="AO499" s="11"/>
      <c r="AP499" s="11"/>
      <c r="AQ499" s="11"/>
      <c r="AR499" s="11"/>
      <c r="AS499" s="11">
        <v>400</v>
      </c>
      <c r="AT499" s="11"/>
      <c r="AU499" s="11"/>
      <c r="AV499" s="11"/>
      <c r="AW499" s="20" t="str">
        <f>HYPERLINK("http://www.openstreetmap.org/?mlat=34.8763&amp;mlon=43.5807&amp;zoom=12#map=12/34.8763/43.5807","Maplink1")</f>
        <v>Maplink1</v>
      </c>
      <c r="AX499" s="20" t="str">
        <f>HYPERLINK("https://www.google.iq/maps/search/+34.8763,43.5807/@34.8763,43.5807,14z?hl=en","Maplink2")</f>
        <v>Maplink2</v>
      </c>
      <c r="AY499" s="20" t="str">
        <f>HYPERLINK("http://www.bing.com/maps/?lvl=14&amp;sty=h&amp;cp=34.8763~43.5807&amp;sp=point.34.8763_43.5807","Maplink3")</f>
        <v>Maplink3</v>
      </c>
    </row>
    <row r="500" spans="1:51" s="19" customFormat="1" x14ac:dyDescent="0.25">
      <c r="A500" s="9">
        <v>25569</v>
      </c>
      <c r="B500" s="10" t="s">
        <v>22</v>
      </c>
      <c r="C500" s="10" t="s">
        <v>661</v>
      </c>
      <c r="D500" s="10" t="s">
        <v>666</v>
      </c>
      <c r="E500" s="10" t="s">
        <v>905</v>
      </c>
      <c r="F500" s="10">
        <v>34.700732410000001</v>
      </c>
      <c r="G500" s="10">
        <v>43.681833240000003</v>
      </c>
      <c r="H500" s="10" t="s">
        <v>612</v>
      </c>
      <c r="I500" s="10" t="s">
        <v>663</v>
      </c>
      <c r="J500" s="10"/>
      <c r="K500" s="11">
        <v>200</v>
      </c>
      <c r="L500" s="11">
        <v>1200</v>
      </c>
      <c r="M500" s="11"/>
      <c r="N500" s="11"/>
      <c r="O500" s="11"/>
      <c r="P500" s="11"/>
      <c r="Q500" s="11"/>
      <c r="R500" s="11"/>
      <c r="S500" s="11">
        <v>19</v>
      </c>
      <c r="T500" s="11"/>
      <c r="U500" s="11">
        <v>174</v>
      </c>
      <c r="V500" s="11"/>
      <c r="W500" s="11"/>
      <c r="X500" s="11"/>
      <c r="Y500" s="11"/>
      <c r="Z500" s="11"/>
      <c r="AA500" s="11"/>
      <c r="AB500" s="11">
        <v>7</v>
      </c>
      <c r="AC500" s="11"/>
      <c r="AD500" s="11"/>
      <c r="AE500" s="11"/>
      <c r="AF500" s="11">
        <v>200</v>
      </c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>
        <v>174</v>
      </c>
      <c r="AS500" s="11">
        <v>26</v>
      </c>
      <c r="AT500" s="11"/>
      <c r="AU500" s="11"/>
      <c r="AV500" s="11"/>
      <c r="AW500" s="20" t="str">
        <f>HYPERLINK("http://www.openstreetmap.org/?mlat=34.7007&amp;mlon=43.6818&amp;zoom=12#map=12/34.7007/43.6818","Maplink1")</f>
        <v>Maplink1</v>
      </c>
      <c r="AX500" s="20" t="str">
        <f>HYPERLINK("https://www.google.iq/maps/search/+34.7007,43.6818/@34.7007,43.6818,14z?hl=en","Maplink2")</f>
        <v>Maplink2</v>
      </c>
      <c r="AY500" s="20" t="str">
        <f>HYPERLINK("http://www.bing.com/maps/?lvl=14&amp;sty=h&amp;cp=34.7007~43.6818&amp;sp=point.34.7007_43.6818","Maplink3")</f>
        <v>Maplink3</v>
      </c>
    </row>
    <row r="501" spans="1:51" s="19" customFormat="1" x14ac:dyDescent="0.25">
      <c r="A501" s="9">
        <v>24212</v>
      </c>
      <c r="B501" s="10" t="s">
        <v>22</v>
      </c>
      <c r="C501" s="10" t="s">
        <v>661</v>
      </c>
      <c r="D501" s="10" t="s">
        <v>667</v>
      </c>
      <c r="E501" s="10" t="s">
        <v>1203</v>
      </c>
      <c r="F501" s="10">
        <v>34.768273579999999</v>
      </c>
      <c r="G501" s="10">
        <v>43.656219569999998</v>
      </c>
      <c r="H501" s="10" t="s">
        <v>612</v>
      </c>
      <c r="I501" s="10" t="s">
        <v>663</v>
      </c>
      <c r="J501" s="10" t="s">
        <v>668</v>
      </c>
      <c r="K501" s="11">
        <v>75</v>
      </c>
      <c r="L501" s="11">
        <v>450</v>
      </c>
      <c r="M501" s="11"/>
      <c r="N501" s="11"/>
      <c r="O501" s="11">
        <v>5</v>
      </c>
      <c r="P501" s="11"/>
      <c r="Q501" s="11"/>
      <c r="R501" s="11"/>
      <c r="S501" s="11">
        <v>20</v>
      </c>
      <c r="T501" s="11"/>
      <c r="U501" s="11">
        <v>20</v>
      </c>
      <c r="V501" s="11"/>
      <c r="W501" s="11"/>
      <c r="X501" s="11"/>
      <c r="Y501" s="11"/>
      <c r="Z501" s="11"/>
      <c r="AA501" s="11">
        <v>20</v>
      </c>
      <c r="AB501" s="11">
        <v>10</v>
      </c>
      <c r="AC501" s="11"/>
      <c r="AD501" s="11"/>
      <c r="AE501" s="11"/>
      <c r="AF501" s="11">
        <v>75</v>
      </c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>
        <v>60</v>
      </c>
      <c r="AR501" s="11">
        <v>15</v>
      </c>
      <c r="AS501" s="11"/>
      <c r="AT501" s="11"/>
      <c r="AU501" s="11"/>
      <c r="AV501" s="11"/>
      <c r="AW501" s="20" t="str">
        <f>HYPERLINK("http://www.openstreetmap.org/?mlat=34.7683&amp;mlon=43.6562&amp;zoom=12#map=12/34.7683/43.6562","Maplink1")</f>
        <v>Maplink1</v>
      </c>
      <c r="AX501" s="20" t="str">
        <f>HYPERLINK("https://www.google.iq/maps/search/+34.7683,43.6562/@34.7683,43.6562,14z?hl=en","Maplink2")</f>
        <v>Maplink2</v>
      </c>
      <c r="AY501" s="20" t="str">
        <f>HYPERLINK("http://www.bing.com/maps/?lvl=14&amp;sty=h&amp;cp=34.7683~43.6562&amp;sp=point.34.7683_43.6562","Maplink3")</f>
        <v>Maplink3</v>
      </c>
    </row>
    <row r="502" spans="1:51" s="19" customFormat="1" x14ac:dyDescent="0.25">
      <c r="A502" s="9">
        <v>26034</v>
      </c>
      <c r="B502" s="10" t="s">
        <v>22</v>
      </c>
      <c r="C502" s="10" t="s">
        <v>661</v>
      </c>
      <c r="D502" s="10" t="s">
        <v>757</v>
      </c>
      <c r="E502" s="10" t="s">
        <v>1204</v>
      </c>
      <c r="F502" s="10">
        <v>34.725764210000001</v>
      </c>
      <c r="G502" s="10">
        <v>43.63827766</v>
      </c>
      <c r="H502" s="10" t="s">
        <v>612</v>
      </c>
      <c r="I502" s="10" t="s">
        <v>663</v>
      </c>
      <c r="J502" s="10"/>
      <c r="K502" s="11">
        <v>381</v>
      </c>
      <c r="L502" s="11">
        <v>2286</v>
      </c>
      <c r="M502" s="11"/>
      <c r="N502" s="11"/>
      <c r="O502" s="11"/>
      <c r="P502" s="11"/>
      <c r="Q502" s="11">
        <v>2</v>
      </c>
      <c r="R502" s="11"/>
      <c r="S502" s="11">
        <v>61</v>
      </c>
      <c r="T502" s="11"/>
      <c r="U502" s="11">
        <v>76</v>
      </c>
      <c r="V502" s="11"/>
      <c r="W502" s="11"/>
      <c r="X502" s="11"/>
      <c r="Y502" s="11"/>
      <c r="Z502" s="11"/>
      <c r="AA502" s="11">
        <v>205</v>
      </c>
      <c r="AB502" s="11">
        <v>35</v>
      </c>
      <c r="AC502" s="11"/>
      <c r="AD502" s="11">
        <v>2</v>
      </c>
      <c r="AE502" s="11"/>
      <c r="AF502" s="11">
        <v>311</v>
      </c>
      <c r="AG502" s="11">
        <v>20</v>
      </c>
      <c r="AH502" s="11"/>
      <c r="AI502" s="11"/>
      <c r="AJ502" s="11"/>
      <c r="AK502" s="11"/>
      <c r="AL502" s="11">
        <v>50</v>
      </c>
      <c r="AM502" s="11"/>
      <c r="AN502" s="11"/>
      <c r="AO502" s="11"/>
      <c r="AP502" s="11"/>
      <c r="AQ502" s="11">
        <v>176</v>
      </c>
      <c r="AR502" s="11"/>
      <c r="AS502" s="11"/>
      <c r="AT502" s="11"/>
      <c r="AU502" s="11">
        <v>205</v>
      </c>
      <c r="AV502" s="11"/>
      <c r="AW502" s="20" t="str">
        <f>HYPERLINK("http://www.openstreetmap.org/?mlat=34.7258&amp;mlon=43.6383&amp;zoom=12#map=12/34.7258/43.6383","Maplink1")</f>
        <v>Maplink1</v>
      </c>
      <c r="AX502" s="20" t="str">
        <f>HYPERLINK("https://www.google.iq/maps/search/+34.7258,43.6383/@34.7258,43.6383,14z?hl=en","Maplink2")</f>
        <v>Maplink2</v>
      </c>
      <c r="AY502" s="20" t="str">
        <f>HYPERLINK("http://www.bing.com/maps/?lvl=14&amp;sty=h&amp;cp=34.7258~43.6383&amp;sp=point.34.7258_43.6383","Maplink3")</f>
        <v>Maplink3</v>
      </c>
    </row>
    <row r="503" spans="1:51" s="19" customFormat="1" x14ac:dyDescent="0.25">
      <c r="A503" s="9">
        <v>25894</v>
      </c>
      <c r="B503" s="10" t="s">
        <v>22</v>
      </c>
      <c r="C503" s="10" t="s">
        <v>661</v>
      </c>
      <c r="D503" s="10" t="s">
        <v>812</v>
      </c>
      <c r="E503" s="10" t="s">
        <v>1205</v>
      </c>
      <c r="F503" s="10">
        <v>34.650883219999997</v>
      </c>
      <c r="G503" s="10">
        <v>43.884145650000001</v>
      </c>
      <c r="H503" s="10" t="s">
        <v>612</v>
      </c>
      <c r="I503" s="10" t="s">
        <v>663</v>
      </c>
      <c r="J503" s="10"/>
      <c r="K503" s="11">
        <v>101</v>
      </c>
      <c r="L503" s="11">
        <v>606</v>
      </c>
      <c r="M503" s="11"/>
      <c r="N503" s="11"/>
      <c r="O503" s="11"/>
      <c r="P503" s="11"/>
      <c r="Q503" s="11"/>
      <c r="R503" s="11"/>
      <c r="S503" s="11"/>
      <c r="T503" s="11"/>
      <c r="U503" s="11">
        <v>75</v>
      </c>
      <c r="V503" s="11"/>
      <c r="W503" s="11"/>
      <c r="X503" s="11"/>
      <c r="Y503" s="11"/>
      <c r="Z503" s="11"/>
      <c r="AA503" s="11">
        <v>26</v>
      </c>
      <c r="AB503" s="11"/>
      <c r="AC503" s="11"/>
      <c r="AD503" s="11"/>
      <c r="AE503" s="11"/>
      <c r="AF503" s="11">
        <v>86</v>
      </c>
      <c r="AG503" s="11"/>
      <c r="AH503" s="11"/>
      <c r="AI503" s="11">
        <v>15</v>
      </c>
      <c r="AJ503" s="11"/>
      <c r="AK503" s="11"/>
      <c r="AL503" s="11"/>
      <c r="AM503" s="11"/>
      <c r="AN503" s="11"/>
      <c r="AO503" s="11"/>
      <c r="AP503" s="11"/>
      <c r="AQ503" s="11"/>
      <c r="AR503" s="11">
        <v>75</v>
      </c>
      <c r="AS503" s="11"/>
      <c r="AT503" s="11"/>
      <c r="AU503" s="11">
        <v>26</v>
      </c>
      <c r="AV503" s="11"/>
      <c r="AW503" s="20" t="str">
        <f>HYPERLINK("http://www.openstreetmap.org/?mlat=34.6509&amp;mlon=43.8841&amp;zoom=12#map=12/34.6509/43.8841","Maplink1")</f>
        <v>Maplink1</v>
      </c>
      <c r="AX503" s="20" t="str">
        <f>HYPERLINK("https://www.google.iq/maps/search/+34.6509,43.8841/@34.6509,43.8841,14z?hl=en","Maplink2")</f>
        <v>Maplink2</v>
      </c>
      <c r="AY503" s="20" t="str">
        <f>HYPERLINK("http://www.bing.com/maps/?lvl=14&amp;sty=h&amp;cp=34.6509~43.8841&amp;sp=point.34.6509_43.8841","Maplink3")</f>
        <v>Maplink3</v>
      </c>
    </row>
    <row r="504" spans="1:51" s="19" customFormat="1" x14ac:dyDescent="0.25">
      <c r="A504" s="9">
        <v>24211</v>
      </c>
      <c r="B504" s="10" t="s">
        <v>22</v>
      </c>
      <c r="C504" s="10" t="s">
        <v>661</v>
      </c>
      <c r="D504" s="10" t="s">
        <v>1206</v>
      </c>
      <c r="E504" s="10" t="s">
        <v>1207</v>
      </c>
      <c r="F504" s="10">
        <v>34.668674029999998</v>
      </c>
      <c r="G504" s="10">
        <v>43.876530959999997</v>
      </c>
      <c r="H504" s="10" t="s">
        <v>612</v>
      </c>
      <c r="I504" s="10" t="s">
        <v>663</v>
      </c>
      <c r="J504" s="10" t="s">
        <v>669</v>
      </c>
      <c r="K504" s="11">
        <v>150</v>
      </c>
      <c r="L504" s="11">
        <v>900</v>
      </c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>
        <v>150</v>
      </c>
      <c r="AB504" s="11"/>
      <c r="AC504" s="11"/>
      <c r="AD504" s="11"/>
      <c r="AE504" s="11"/>
      <c r="AF504" s="11">
        <v>124</v>
      </c>
      <c r="AG504" s="11"/>
      <c r="AH504" s="11"/>
      <c r="AI504" s="11">
        <v>26</v>
      </c>
      <c r="AJ504" s="11"/>
      <c r="AK504" s="11"/>
      <c r="AL504" s="11"/>
      <c r="AM504" s="11"/>
      <c r="AN504" s="11"/>
      <c r="AO504" s="11"/>
      <c r="AP504" s="11"/>
      <c r="AQ504" s="11"/>
      <c r="AR504" s="11"/>
      <c r="AS504" s="11">
        <v>150</v>
      </c>
      <c r="AT504" s="11"/>
      <c r="AU504" s="11"/>
      <c r="AV504" s="11"/>
      <c r="AW504" s="20" t="str">
        <f>HYPERLINK("http://www.openstreetmap.org/?mlat=34.6687&amp;mlon=43.8765&amp;zoom=12#map=12/34.6687/43.8765","Maplink1")</f>
        <v>Maplink1</v>
      </c>
      <c r="AX504" s="20" t="str">
        <f>HYPERLINK("https://www.google.iq/maps/search/+34.6687,43.8765/@34.6687,43.8765,14z?hl=en","Maplink2")</f>
        <v>Maplink2</v>
      </c>
      <c r="AY504" s="20" t="str">
        <f>HYPERLINK("http://www.bing.com/maps/?lvl=14&amp;sty=h&amp;cp=34.6687~43.8765&amp;sp=point.34.6687_43.8765","Maplink3")</f>
        <v>Maplink3</v>
      </c>
    </row>
    <row r="505" spans="1:51" s="19" customFormat="1" x14ac:dyDescent="0.25">
      <c r="A505" s="9">
        <v>27231</v>
      </c>
      <c r="B505" s="10" t="s">
        <v>22</v>
      </c>
      <c r="C505" s="10" t="s">
        <v>661</v>
      </c>
      <c r="D505" s="10" t="s">
        <v>924</v>
      </c>
      <c r="E505" s="10" t="s">
        <v>1208</v>
      </c>
      <c r="F505" s="10">
        <v>34.668206650000002</v>
      </c>
      <c r="G505" s="10">
        <v>43.725524999999998</v>
      </c>
      <c r="H505" s="10"/>
      <c r="I505" s="10"/>
      <c r="J505" s="10"/>
      <c r="K505" s="11">
        <v>250</v>
      </c>
      <c r="L505" s="11">
        <v>1500</v>
      </c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>
        <v>250</v>
      </c>
      <c r="AB505" s="11"/>
      <c r="AC505" s="11"/>
      <c r="AD505" s="11"/>
      <c r="AE505" s="11"/>
      <c r="AF505" s="11">
        <v>170</v>
      </c>
      <c r="AG505" s="11"/>
      <c r="AH505" s="11"/>
      <c r="AI505" s="11"/>
      <c r="AJ505" s="11"/>
      <c r="AK505" s="11"/>
      <c r="AL505" s="11">
        <v>80</v>
      </c>
      <c r="AM505" s="11"/>
      <c r="AN505" s="11"/>
      <c r="AO505" s="11"/>
      <c r="AP505" s="11"/>
      <c r="AQ505" s="11">
        <v>150</v>
      </c>
      <c r="AR505" s="11">
        <v>100</v>
      </c>
      <c r="AS505" s="11"/>
      <c r="AT505" s="11"/>
      <c r="AU505" s="11"/>
      <c r="AV505" s="11"/>
      <c r="AW505" s="20" t="str">
        <f>HYPERLINK("http://www.openstreetmap.org/?mlat=34.6682&amp;mlon=43.7255&amp;zoom=12#map=12/34.6682/43.7255","Maplink1")</f>
        <v>Maplink1</v>
      </c>
      <c r="AX505" s="20" t="str">
        <f>HYPERLINK("https://www.google.iq/maps/search/+34.6682,43.7255/@34.6682,43.7255,14z?hl=en","Maplink2")</f>
        <v>Maplink2</v>
      </c>
      <c r="AY505" s="20" t="str">
        <f>HYPERLINK("http://www.bing.com/maps/?lvl=14&amp;sty=h&amp;cp=34.6682~43.7255&amp;sp=point.34.6682_43.7255","Maplink3")</f>
        <v>Maplink3</v>
      </c>
    </row>
    <row r="506" spans="1:51" s="19" customFormat="1" x14ac:dyDescent="0.25">
      <c r="A506" s="9">
        <v>21357</v>
      </c>
      <c r="B506" s="10" t="s">
        <v>22</v>
      </c>
      <c r="C506" s="10" t="s">
        <v>661</v>
      </c>
      <c r="D506" s="10" t="s">
        <v>758</v>
      </c>
      <c r="E506" s="10" t="s">
        <v>970</v>
      </c>
      <c r="F506" s="10">
        <v>34.458529130000002</v>
      </c>
      <c r="G506" s="10">
        <v>43.736130019999997</v>
      </c>
      <c r="H506" s="10" t="s">
        <v>612</v>
      </c>
      <c r="I506" s="10" t="s">
        <v>663</v>
      </c>
      <c r="J506" s="10" t="s">
        <v>685</v>
      </c>
      <c r="K506" s="11">
        <v>1268</v>
      </c>
      <c r="L506" s="11">
        <v>7608</v>
      </c>
      <c r="M506" s="11"/>
      <c r="N506" s="11"/>
      <c r="O506" s="11">
        <v>57</v>
      </c>
      <c r="P506" s="11">
        <v>12</v>
      </c>
      <c r="Q506" s="11">
        <v>55</v>
      </c>
      <c r="R506" s="11"/>
      <c r="S506" s="11">
        <v>225</v>
      </c>
      <c r="T506" s="11"/>
      <c r="U506" s="11">
        <v>593</v>
      </c>
      <c r="V506" s="11"/>
      <c r="W506" s="11"/>
      <c r="X506" s="11"/>
      <c r="Y506" s="11"/>
      <c r="Z506" s="11"/>
      <c r="AA506" s="11">
        <v>326</v>
      </c>
      <c r="AB506" s="11"/>
      <c r="AC506" s="11"/>
      <c r="AD506" s="11"/>
      <c r="AE506" s="11"/>
      <c r="AF506" s="11">
        <v>1205</v>
      </c>
      <c r="AG506" s="11"/>
      <c r="AH506" s="11"/>
      <c r="AI506" s="11"/>
      <c r="AJ506" s="11"/>
      <c r="AK506" s="11"/>
      <c r="AL506" s="11">
        <v>63</v>
      </c>
      <c r="AM506" s="11"/>
      <c r="AN506" s="11"/>
      <c r="AO506" s="11"/>
      <c r="AP506" s="11"/>
      <c r="AQ506" s="11">
        <v>1268</v>
      </c>
      <c r="AR506" s="11"/>
      <c r="AS506" s="11"/>
      <c r="AT506" s="11"/>
      <c r="AU506" s="11"/>
      <c r="AV506" s="11"/>
      <c r="AW506" s="20" t="str">
        <f>HYPERLINK("http://www.openstreetmap.org/?mlat=34.4585&amp;mlon=43.7361&amp;zoom=12#map=12/34.4585/43.7361","Maplink1")</f>
        <v>Maplink1</v>
      </c>
      <c r="AX506" s="20" t="str">
        <f>HYPERLINK("https://www.google.iq/maps/search/+34.4585,43.7361/@34.4585,43.7361,14z?hl=en","Maplink2")</f>
        <v>Maplink2</v>
      </c>
      <c r="AY506" s="20" t="str">
        <f>HYPERLINK("http://www.bing.com/maps/?lvl=14&amp;sty=h&amp;cp=34.4585~43.7361&amp;sp=point.34.4585_43.7361","Maplink3")</f>
        <v>Maplink3</v>
      </c>
    </row>
    <row r="507" spans="1:51" s="19" customFormat="1" x14ac:dyDescent="0.25">
      <c r="A507" s="9">
        <v>29589</v>
      </c>
      <c r="B507" s="10" t="s">
        <v>22</v>
      </c>
      <c r="C507" s="10" t="s">
        <v>661</v>
      </c>
      <c r="D507" s="10" t="s">
        <v>925</v>
      </c>
      <c r="E507" s="10" t="s">
        <v>926</v>
      </c>
      <c r="F507" s="10">
        <v>34.655555560000003</v>
      </c>
      <c r="G507" s="10">
        <v>43.713055560000001</v>
      </c>
      <c r="H507" s="10" t="s">
        <v>612</v>
      </c>
      <c r="I507" s="10" t="s">
        <v>663</v>
      </c>
      <c r="J507" s="10"/>
      <c r="K507" s="11">
        <v>335</v>
      </c>
      <c r="L507" s="11">
        <v>2010</v>
      </c>
      <c r="M507" s="11"/>
      <c r="N507" s="11"/>
      <c r="O507" s="11">
        <v>24</v>
      </c>
      <c r="P507" s="11"/>
      <c r="Q507" s="11"/>
      <c r="R507" s="11"/>
      <c r="S507" s="11">
        <v>50</v>
      </c>
      <c r="T507" s="11"/>
      <c r="U507" s="11">
        <v>35</v>
      </c>
      <c r="V507" s="11"/>
      <c r="W507" s="11"/>
      <c r="X507" s="11"/>
      <c r="Y507" s="11"/>
      <c r="Z507" s="11"/>
      <c r="AA507" s="11">
        <v>220</v>
      </c>
      <c r="AB507" s="11">
        <v>6</v>
      </c>
      <c r="AC507" s="11"/>
      <c r="AD507" s="11"/>
      <c r="AE507" s="11"/>
      <c r="AF507" s="11">
        <v>335</v>
      </c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>
        <v>150</v>
      </c>
      <c r="AR507" s="11">
        <v>130</v>
      </c>
      <c r="AS507" s="11">
        <v>55</v>
      </c>
      <c r="AT507" s="11"/>
      <c r="AU507" s="11"/>
      <c r="AV507" s="11"/>
      <c r="AW507" s="20" t="str">
        <f>HYPERLINK("http://www.openstreetmap.org/?mlat=34.6556&amp;mlon=43.7131&amp;zoom=12#map=12/34.6556/43.7131","Maplink1")</f>
        <v>Maplink1</v>
      </c>
      <c r="AX507" s="20" t="str">
        <f>HYPERLINK("https://www.google.iq/maps/search/+34.6556,43.7131/@34.6556,43.7131,14z?hl=en","Maplink2")</f>
        <v>Maplink2</v>
      </c>
      <c r="AY507" s="20" t="str">
        <f>HYPERLINK("http://www.bing.com/maps/?lvl=14&amp;sty=h&amp;cp=34.6556~43.7131&amp;sp=point.34.6556_43.7131","Maplink3")</f>
        <v>Maplink3</v>
      </c>
    </row>
    <row r="508" spans="1:51" s="19" customFormat="1" x14ac:dyDescent="0.25">
      <c r="A508" s="9">
        <v>20642</v>
      </c>
      <c r="B508" s="10" t="s">
        <v>22</v>
      </c>
      <c r="C508" s="10" t="s">
        <v>661</v>
      </c>
      <c r="D508" s="10" t="s">
        <v>1209</v>
      </c>
      <c r="E508" s="10" t="s">
        <v>672</v>
      </c>
      <c r="F508" s="10">
        <v>34.690297870000002</v>
      </c>
      <c r="G508" s="10">
        <v>43.624409999999997</v>
      </c>
      <c r="H508" s="10" t="s">
        <v>612</v>
      </c>
      <c r="I508" s="10" t="s">
        <v>663</v>
      </c>
      <c r="J508" s="10" t="s">
        <v>673</v>
      </c>
      <c r="K508" s="11">
        <v>120</v>
      </c>
      <c r="L508" s="11">
        <v>720</v>
      </c>
      <c r="M508" s="11"/>
      <c r="N508" s="11"/>
      <c r="O508" s="11"/>
      <c r="P508" s="11"/>
      <c r="Q508" s="11"/>
      <c r="R508" s="11"/>
      <c r="S508" s="11">
        <v>4</v>
      </c>
      <c r="T508" s="11"/>
      <c r="U508" s="11">
        <v>100</v>
      </c>
      <c r="V508" s="11"/>
      <c r="W508" s="11"/>
      <c r="X508" s="11"/>
      <c r="Y508" s="11"/>
      <c r="Z508" s="11"/>
      <c r="AA508" s="11">
        <v>8</v>
      </c>
      <c r="AB508" s="11">
        <v>8</v>
      </c>
      <c r="AC508" s="11"/>
      <c r="AD508" s="11"/>
      <c r="AE508" s="11"/>
      <c r="AF508" s="11">
        <v>120</v>
      </c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>
        <v>112</v>
      </c>
      <c r="AR508" s="11"/>
      <c r="AS508" s="11">
        <v>8</v>
      </c>
      <c r="AT508" s="11"/>
      <c r="AU508" s="11"/>
      <c r="AV508" s="11"/>
      <c r="AW508" s="20" t="str">
        <f>HYPERLINK("http://www.openstreetmap.org/?mlat=34.6903&amp;mlon=43.6244&amp;zoom=12#map=12/34.6903/43.6244","Maplink1")</f>
        <v>Maplink1</v>
      </c>
      <c r="AX508" s="20" t="str">
        <f>HYPERLINK("https://www.google.iq/maps/search/+34.6903,43.6244/@34.6903,43.6244,14z?hl=en","Maplink2")</f>
        <v>Maplink2</v>
      </c>
      <c r="AY508" s="20" t="str">
        <f>HYPERLINK("http://www.bing.com/maps/?lvl=14&amp;sty=h&amp;cp=34.6903~43.6244&amp;sp=point.34.6903_43.6244","Maplink3")</f>
        <v>Maplink3</v>
      </c>
    </row>
    <row r="509" spans="1:51" s="19" customFormat="1" x14ac:dyDescent="0.25">
      <c r="A509" s="9">
        <v>23525</v>
      </c>
      <c r="B509" s="10" t="s">
        <v>22</v>
      </c>
      <c r="C509" s="10" t="s">
        <v>661</v>
      </c>
      <c r="D509" s="10" t="s">
        <v>674</v>
      </c>
      <c r="E509" s="10" t="s">
        <v>675</v>
      </c>
      <c r="F509" s="10">
        <v>34.69476908</v>
      </c>
      <c r="G509" s="10">
        <v>43.634281430000001</v>
      </c>
      <c r="H509" s="10" t="s">
        <v>612</v>
      </c>
      <c r="I509" s="10" t="s">
        <v>663</v>
      </c>
      <c r="J509" s="10" t="s">
        <v>676</v>
      </c>
      <c r="K509" s="11">
        <v>18</v>
      </c>
      <c r="L509" s="11">
        <v>108</v>
      </c>
      <c r="M509" s="11"/>
      <c r="N509" s="11"/>
      <c r="O509" s="11"/>
      <c r="P509" s="11"/>
      <c r="Q509" s="11"/>
      <c r="R509" s="11"/>
      <c r="S509" s="11"/>
      <c r="T509" s="11"/>
      <c r="U509" s="11">
        <v>18</v>
      </c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>
        <v>18</v>
      </c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>
        <v>18</v>
      </c>
      <c r="AR509" s="11"/>
      <c r="AS509" s="11"/>
      <c r="AT509" s="11"/>
      <c r="AU509" s="11"/>
      <c r="AV509" s="11"/>
      <c r="AW509" s="20" t="str">
        <f>HYPERLINK("http://www.openstreetmap.org/?mlat=34.6948&amp;mlon=43.6343&amp;zoom=12#map=12/34.6948/43.6343","Maplink1")</f>
        <v>Maplink1</v>
      </c>
      <c r="AX509" s="20" t="str">
        <f>HYPERLINK("https://www.google.iq/maps/search/+34.6948,43.6343/@34.6948,43.6343,14z?hl=en","Maplink2")</f>
        <v>Maplink2</v>
      </c>
      <c r="AY509" s="20" t="str">
        <f>HYPERLINK("http://www.bing.com/maps/?lvl=14&amp;sty=h&amp;cp=34.6948~43.6343&amp;sp=point.34.6948_43.6343","Maplink3")</f>
        <v>Maplink3</v>
      </c>
    </row>
    <row r="510" spans="1:51" s="19" customFormat="1" x14ac:dyDescent="0.25">
      <c r="A510" s="9">
        <v>28419</v>
      </c>
      <c r="B510" s="10" t="s">
        <v>22</v>
      </c>
      <c r="C510" s="10" t="s">
        <v>661</v>
      </c>
      <c r="D510" s="10" t="s">
        <v>677</v>
      </c>
      <c r="E510" s="10" t="s">
        <v>678</v>
      </c>
      <c r="F510" s="10">
        <v>34.725397030000003</v>
      </c>
      <c r="G510" s="10">
        <v>43.595723679999999</v>
      </c>
      <c r="H510" s="10" t="s">
        <v>612</v>
      </c>
      <c r="I510" s="10" t="s">
        <v>663</v>
      </c>
      <c r="J510" s="10"/>
      <c r="K510" s="11">
        <v>130</v>
      </c>
      <c r="L510" s="11">
        <v>780</v>
      </c>
      <c r="M510" s="11"/>
      <c r="N510" s="11"/>
      <c r="O510" s="11"/>
      <c r="P510" s="11"/>
      <c r="Q510" s="11"/>
      <c r="R510" s="11"/>
      <c r="S510" s="11"/>
      <c r="T510" s="11"/>
      <c r="U510" s="11">
        <v>130</v>
      </c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>
        <v>80</v>
      </c>
      <c r="AG510" s="11"/>
      <c r="AH510" s="11"/>
      <c r="AI510" s="11">
        <v>50</v>
      </c>
      <c r="AJ510" s="11"/>
      <c r="AK510" s="11"/>
      <c r="AL510" s="11"/>
      <c r="AM510" s="11"/>
      <c r="AN510" s="11"/>
      <c r="AO510" s="11"/>
      <c r="AP510" s="11"/>
      <c r="AQ510" s="11">
        <v>130</v>
      </c>
      <c r="AR510" s="11"/>
      <c r="AS510" s="11"/>
      <c r="AT510" s="11"/>
      <c r="AU510" s="11"/>
      <c r="AV510" s="11"/>
      <c r="AW510" s="20" t="str">
        <f>HYPERLINK("http://www.openstreetmap.org/?mlat=34.7254&amp;mlon=43.5957&amp;zoom=12#map=12/34.7254/43.5957","Maplink1")</f>
        <v>Maplink1</v>
      </c>
      <c r="AX510" s="20" t="str">
        <f>HYPERLINK("https://www.google.iq/maps/search/+34.7254,43.5957/@34.7254,43.5957,14z?hl=en","Maplink2")</f>
        <v>Maplink2</v>
      </c>
      <c r="AY510" s="20" t="str">
        <f>HYPERLINK("http://www.bing.com/maps/?lvl=14&amp;sty=h&amp;cp=34.7254~43.5957&amp;sp=point.34.7254_43.5957","Maplink3")</f>
        <v>Maplink3</v>
      </c>
    </row>
    <row r="511" spans="1:51" s="19" customFormat="1" x14ac:dyDescent="0.25">
      <c r="A511" s="9">
        <v>23918</v>
      </c>
      <c r="B511" s="10" t="s">
        <v>22</v>
      </c>
      <c r="C511" s="10" t="s">
        <v>661</v>
      </c>
      <c r="D511" s="10" t="s">
        <v>679</v>
      </c>
      <c r="E511" s="10" t="s">
        <v>1210</v>
      </c>
      <c r="F511" s="10">
        <v>34.627451280000002</v>
      </c>
      <c r="G511" s="10">
        <v>43.669864750000002</v>
      </c>
      <c r="H511" s="10" t="s">
        <v>612</v>
      </c>
      <c r="I511" s="10" t="s">
        <v>663</v>
      </c>
      <c r="J511" s="10" t="s">
        <v>680</v>
      </c>
      <c r="K511" s="11">
        <v>722</v>
      </c>
      <c r="L511" s="11">
        <v>4332</v>
      </c>
      <c r="M511" s="11"/>
      <c r="N511" s="11"/>
      <c r="O511" s="11">
        <v>28</v>
      </c>
      <c r="P511" s="11"/>
      <c r="Q511" s="11">
        <v>2</v>
      </c>
      <c r="R511" s="11"/>
      <c r="S511" s="11">
        <v>200</v>
      </c>
      <c r="T511" s="11"/>
      <c r="U511" s="11">
        <v>206</v>
      </c>
      <c r="V511" s="11"/>
      <c r="W511" s="11"/>
      <c r="X511" s="11"/>
      <c r="Y511" s="11"/>
      <c r="Z511" s="11"/>
      <c r="AA511" s="11">
        <v>178</v>
      </c>
      <c r="AB511" s="11">
        <v>108</v>
      </c>
      <c r="AC511" s="11"/>
      <c r="AD511" s="11"/>
      <c r="AE511" s="11"/>
      <c r="AF511" s="11">
        <v>652</v>
      </c>
      <c r="AG511" s="11">
        <v>70</v>
      </c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>
        <v>300</v>
      </c>
      <c r="AS511" s="11">
        <v>200</v>
      </c>
      <c r="AT511" s="11">
        <v>40</v>
      </c>
      <c r="AU511" s="11">
        <v>182</v>
      </c>
      <c r="AV511" s="11"/>
      <c r="AW511" s="20" t="str">
        <f>HYPERLINK("http://www.openstreetmap.org/?mlat=34.6275&amp;mlon=43.6699&amp;zoom=12#map=12/34.6275/43.6699","Maplink1")</f>
        <v>Maplink1</v>
      </c>
      <c r="AX511" s="20" t="str">
        <f>HYPERLINK("https://www.google.iq/maps/search/+34.6275,43.6699/@34.6275,43.6699,14z?hl=en","Maplink2")</f>
        <v>Maplink2</v>
      </c>
      <c r="AY511" s="20" t="str">
        <f>HYPERLINK("http://www.bing.com/maps/?lvl=14&amp;sty=h&amp;cp=34.6275~43.6699&amp;sp=point.34.6275_43.6699","Maplink3")</f>
        <v>Maplink3</v>
      </c>
    </row>
    <row r="512" spans="1:51" s="19" customFormat="1" x14ac:dyDescent="0.25">
      <c r="A512" s="9">
        <v>20631</v>
      </c>
      <c r="B512" s="10" t="s">
        <v>22</v>
      </c>
      <c r="C512" s="10" t="s">
        <v>661</v>
      </c>
      <c r="D512" s="10" t="s">
        <v>1211</v>
      </c>
      <c r="E512" s="10" t="s">
        <v>681</v>
      </c>
      <c r="F512" s="10">
        <v>34.694068590000001</v>
      </c>
      <c r="G512" s="10">
        <v>43.617256380000001</v>
      </c>
      <c r="H512" s="10" t="s">
        <v>612</v>
      </c>
      <c r="I512" s="10" t="s">
        <v>663</v>
      </c>
      <c r="J512" s="10" t="s">
        <v>682</v>
      </c>
      <c r="K512" s="11">
        <v>43</v>
      </c>
      <c r="L512" s="11">
        <v>258</v>
      </c>
      <c r="M512" s="11"/>
      <c r="N512" s="11"/>
      <c r="O512" s="11"/>
      <c r="P512" s="11"/>
      <c r="Q512" s="11"/>
      <c r="R512" s="11"/>
      <c r="S512" s="11">
        <v>8</v>
      </c>
      <c r="T512" s="11"/>
      <c r="U512" s="11">
        <v>35</v>
      </c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>
        <v>43</v>
      </c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>
        <v>43</v>
      </c>
      <c r="AR512" s="11"/>
      <c r="AS512" s="11"/>
      <c r="AT512" s="11"/>
      <c r="AU512" s="11"/>
      <c r="AV512" s="11"/>
      <c r="AW512" s="20" t="str">
        <f>HYPERLINK("http://www.openstreetmap.org/?mlat=34.6941&amp;mlon=43.6173&amp;zoom=12#map=12/34.6941/43.6173","Maplink1")</f>
        <v>Maplink1</v>
      </c>
      <c r="AX512" s="20" t="str">
        <f>HYPERLINK("https://www.google.iq/maps/search/+34.6941,43.6173/@34.6941,43.6173,14z?hl=en","Maplink2")</f>
        <v>Maplink2</v>
      </c>
      <c r="AY512" s="20" t="str">
        <f>HYPERLINK("http://www.bing.com/maps/?lvl=14&amp;sty=h&amp;cp=34.6941~43.6173&amp;sp=point.34.6941_43.6173","Maplink3")</f>
        <v>Maplink3</v>
      </c>
    </row>
    <row r="513" spans="1:51" s="19" customFormat="1" x14ac:dyDescent="0.25">
      <c r="A513" s="9">
        <v>20630</v>
      </c>
      <c r="B513" s="10" t="s">
        <v>22</v>
      </c>
      <c r="C513" s="10" t="s">
        <v>661</v>
      </c>
      <c r="D513" s="10" t="s">
        <v>683</v>
      </c>
      <c r="E513" s="10" t="s">
        <v>971</v>
      </c>
      <c r="F513" s="10">
        <v>34.7006576</v>
      </c>
      <c r="G513" s="10">
        <v>43.616456999999997</v>
      </c>
      <c r="H513" s="10" t="s">
        <v>612</v>
      </c>
      <c r="I513" s="10" t="s">
        <v>663</v>
      </c>
      <c r="J513" s="10" t="s">
        <v>684</v>
      </c>
      <c r="K513" s="11">
        <v>218</v>
      </c>
      <c r="L513" s="11">
        <v>1308</v>
      </c>
      <c r="M513" s="11"/>
      <c r="N513" s="11"/>
      <c r="O513" s="11"/>
      <c r="P513" s="11"/>
      <c r="Q513" s="11"/>
      <c r="R513" s="11"/>
      <c r="S513" s="11">
        <v>11</v>
      </c>
      <c r="T513" s="11"/>
      <c r="U513" s="11">
        <v>198</v>
      </c>
      <c r="V513" s="11"/>
      <c r="W513" s="11"/>
      <c r="X513" s="11"/>
      <c r="Y513" s="11"/>
      <c r="Z513" s="11"/>
      <c r="AA513" s="11">
        <v>9</v>
      </c>
      <c r="AB513" s="11"/>
      <c r="AC513" s="11"/>
      <c r="AD513" s="11"/>
      <c r="AE513" s="11"/>
      <c r="AF513" s="11">
        <v>218</v>
      </c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>
        <v>218</v>
      </c>
      <c r="AR513" s="11"/>
      <c r="AS513" s="11"/>
      <c r="AT513" s="11"/>
      <c r="AU513" s="11"/>
      <c r="AV513" s="11"/>
      <c r="AW513" s="20" t="str">
        <f>HYPERLINK("http://www.openstreetmap.org/?mlat=34.7007&amp;mlon=43.6165&amp;zoom=12#map=12/34.7007/43.6165","Maplink1")</f>
        <v>Maplink1</v>
      </c>
      <c r="AX513" s="20" t="str">
        <f>HYPERLINK("https://www.google.iq/maps/search/+34.7007,43.6165/@34.7007,43.6165,14z?hl=en","Maplink2")</f>
        <v>Maplink2</v>
      </c>
      <c r="AY513" s="20" t="str">
        <f>HYPERLINK("http://www.bing.com/maps/?lvl=14&amp;sty=h&amp;cp=34.7007~43.6165&amp;sp=point.34.7007_43.6165","Maplink3")</f>
        <v>Maplink3</v>
      </c>
    </row>
    <row r="514" spans="1:51" s="19" customFormat="1" x14ac:dyDescent="0.25">
      <c r="A514" s="9">
        <v>25984</v>
      </c>
      <c r="B514" s="10" t="s">
        <v>22</v>
      </c>
      <c r="C514" s="10" t="s">
        <v>661</v>
      </c>
      <c r="D514" s="10" t="s">
        <v>813</v>
      </c>
      <c r="E514" s="10" t="s">
        <v>671</v>
      </c>
      <c r="F514" s="10">
        <v>34.787411599999999</v>
      </c>
      <c r="G514" s="10">
        <v>43.626029209999999</v>
      </c>
      <c r="H514" s="10" t="s">
        <v>612</v>
      </c>
      <c r="I514" s="10" t="s">
        <v>663</v>
      </c>
      <c r="J514" s="10"/>
      <c r="K514" s="11">
        <v>200</v>
      </c>
      <c r="L514" s="11">
        <v>1200</v>
      </c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>
        <v>200</v>
      </c>
      <c r="AB514" s="11"/>
      <c r="AC514" s="11"/>
      <c r="AD514" s="11"/>
      <c r="AE514" s="11"/>
      <c r="AF514" s="11">
        <v>200</v>
      </c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>
        <v>200</v>
      </c>
      <c r="AT514" s="11"/>
      <c r="AU514" s="11"/>
      <c r="AV514" s="11"/>
      <c r="AW514" s="20" t="str">
        <f>HYPERLINK("http://www.openstreetmap.org/?mlat=34.7874&amp;mlon=43.626&amp;zoom=12#map=12/34.7874/43.626","Maplink1")</f>
        <v>Maplink1</v>
      </c>
      <c r="AX514" s="20" t="str">
        <f>HYPERLINK("https://www.google.iq/maps/search/+34.7874,43.626/@34.7874,43.626,14z?hl=en","Maplink2")</f>
        <v>Maplink2</v>
      </c>
      <c r="AY514" s="20" t="str">
        <f>HYPERLINK("http://www.bing.com/maps/?lvl=14&amp;sty=h&amp;cp=34.7874~43.626&amp;sp=point.34.7874_43.626","Maplink3")</f>
        <v>Maplink3</v>
      </c>
    </row>
    <row r="515" spans="1:51" s="19" customFormat="1" x14ac:dyDescent="0.25">
      <c r="A515" s="9">
        <v>24248</v>
      </c>
      <c r="B515" s="10" t="s">
        <v>22</v>
      </c>
      <c r="C515" s="10" t="s">
        <v>661</v>
      </c>
      <c r="D515" s="10" t="s">
        <v>686</v>
      </c>
      <c r="E515" s="10" t="s">
        <v>1281</v>
      </c>
      <c r="F515" s="10">
        <v>34.66514471</v>
      </c>
      <c r="G515" s="10">
        <v>43.721737060000002</v>
      </c>
      <c r="H515" s="10" t="s">
        <v>612</v>
      </c>
      <c r="I515" s="10" t="s">
        <v>663</v>
      </c>
      <c r="J515" s="10" t="s">
        <v>687</v>
      </c>
      <c r="K515" s="11">
        <v>855</v>
      </c>
      <c r="L515" s="11">
        <v>5130</v>
      </c>
      <c r="M515" s="11"/>
      <c r="N515" s="11"/>
      <c r="O515" s="11"/>
      <c r="P515" s="11"/>
      <c r="Q515" s="11"/>
      <c r="R515" s="11"/>
      <c r="S515" s="11"/>
      <c r="T515" s="11"/>
      <c r="U515" s="11">
        <v>280</v>
      </c>
      <c r="V515" s="11"/>
      <c r="W515" s="11"/>
      <c r="X515" s="11"/>
      <c r="Y515" s="11"/>
      <c r="Z515" s="11"/>
      <c r="AA515" s="11">
        <v>425</v>
      </c>
      <c r="AB515" s="11">
        <v>150</v>
      </c>
      <c r="AC515" s="11"/>
      <c r="AD515" s="11"/>
      <c r="AE515" s="11"/>
      <c r="AF515" s="11">
        <v>855</v>
      </c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>
        <v>530</v>
      </c>
      <c r="AS515" s="11">
        <v>325</v>
      </c>
      <c r="AT515" s="11"/>
      <c r="AU515" s="11"/>
      <c r="AV515" s="11"/>
      <c r="AW515" s="20" t="str">
        <f>HYPERLINK("http://www.openstreetmap.org/?mlat=34.6651&amp;mlon=43.7217&amp;zoom=12#map=12/34.6651/43.7217","Maplink1")</f>
        <v>Maplink1</v>
      </c>
      <c r="AX515" s="20" t="str">
        <f>HYPERLINK("https://www.google.iq/maps/search/+34.6651,43.7217/@34.6651,43.7217,14z?hl=en","Maplink2")</f>
        <v>Maplink2</v>
      </c>
      <c r="AY515" s="20" t="str">
        <f>HYPERLINK("http://www.bing.com/maps/?lvl=14&amp;sty=h&amp;cp=34.6651~43.7217&amp;sp=point.34.6651_43.7217","Maplink3")</f>
        <v>Maplink3</v>
      </c>
    </row>
    <row r="516" spans="1:51" s="19" customFormat="1" x14ac:dyDescent="0.25">
      <c r="A516" s="9">
        <v>23527</v>
      </c>
      <c r="B516" s="10" t="s">
        <v>22</v>
      </c>
      <c r="C516" s="10" t="s">
        <v>661</v>
      </c>
      <c r="D516" s="10" t="s">
        <v>688</v>
      </c>
      <c r="E516" s="10" t="s">
        <v>1212</v>
      </c>
      <c r="F516" s="10">
        <v>34.828764</v>
      </c>
      <c r="G516" s="10">
        <v>43.910207999999997</v>
      </c>
      <c r="H516" s="10" t="s">
        <v>612</v>
      </c>
      <c r="I516" s="10" t="s">
        <v>663</v>
      </c>
      <c r="J516" s="10" t="s">
        <v>689</v>
      </c>
      <c r="K516" s="11">
        <v>289</v>
      </c>
      <c r="L516" s="11">
        <v>1734</v>
      </c>
      <c r="M516" s="11"/>
      <c r="N516" s="11"/>
      <c r="O516" s="11"/>
      <c r="P516" s="11"/>
      <c r="Q516" s="11"/>
      <c r="R516" s="11"/>
      <c r="S516" s="11">
        <v>14</v>
      </c>
      <c r="T516" s="11"/>
      <c r="U516" s="11">
        <v>275</v>
      </c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>
        <v>275</v>
      </c>
      <c r="AG516" s="11">
        <v>7</v>
      </c>
      <c r="AH516" s="11"/>
      <c r="AI516" s="11"/>
      <c r="AJ516" s="11"/>
      <c r="AK516" s="11"/>
      <c r="AL516" s="11">
        <v>7</v>
      </c>
      <c r="AM516" s="11"/>
      <c r="AN516" s="11"/>
      <c r="AO516" s="11"/>
      <c r="AP516" s="11"/>
      <c r="AQ516" s="11"/>
      <c r="AR516" s="11">
        <v>14</v>
      </c>
      <c r="AS516" s="11">
        <v>275</v>
      </c>
      <c r="AT516" s="11"/>
      <c r="AU516" s="11"/>
      <c r="AV516" s="11"/>
      <c r="AW516" s="20" t="str">
        <f>HYPERLINK("http://www.openstreetmap.org/?mlat=34.8288&amp;mlon=43.9102&amp;zoom=12#map=12/34.8288/43.9102","Maplink1")</f>
        <v>Maplink1</v>
      </c>
      <c r="AX516" s="20" t="str">
        <f>HYPERLINK("https://www.google.iq/maps/search/+34.8288,43.9102/@34.8288,43.9102,14z?hl=en","Maplink2")</f>
        <v>Maplink2</v>
      </c>
      <c r="AY516" s="20" t="str">
        <f>HYPERLINK("http://www.bing.com/maps/?lvl=14&amp;sty=h&amp;cp=34.8288~43.9102&amp;sp=point.34.8288_43.9102","Maplink3")</f>
        <v>Maplink3</v>
      </c>
    </row>
    <row r="517" spans="1:51" s="19" customFormat="1" x14ac:dyDescent="0.25">
      <c r="A517" s="9">
        <v>20618</v>
      </c>
      <c r="B517" s="10" t="s">
        <v>22</v>
      </c>
      <c r="C517" s="10" t="s">
        <v>661</v>
      </c>
      <c r="D517" s="10" t="s">
        <v>1213</v>
      </c>
      <c r="E517" s="10" t="s">
        <v>690</v>
      </c>
      <c r="F517" s="10">
        <v>34.700995800000001</v>
      </c>
      <c r="G517" s="10">
        <v>43.616550400000001</v>
      </c>
      <c r="H517" s="10" t="s">
        <v>612</v>
      </c>
      <c r="I517" s="10" t="s">
        <v>663</v>
      </c>
      <c r="J517" s="10" t="s">
        <v>691</v>
      </c>
      <c r="K517" s="11">
        <v>255</v>
      </c>
      <c r="L517" s="11">
        <v>1530</v>
      </c>
      <c r="M517" s="11"/>
      <c r="N517" s="11"/>
      <c r="O517" s="11">
        <v>44</v>
      </c>
      <c r="P517" s="11"/>
      <c r="Q517" s="11"/>
      <c r="R517" s="11">
        <v>2</v>
      </c>
      <c r="S517" s="11">
        <v>13</v>
      </c>
      <c r="T517" s="11"/>
      <c r="U517" s="11">
        <v>179</v>
      </c>
      <c r="V517" s="11"/>
      <c r="W517" s="11"/>
      <c r="X517" s="11"/>
      <c r="Y517" s="11"/>
      <c r="Z517" s="11"/>
      <c r="AA517" s="11">
        <v>11</v>
      </c>
      <c r="AB517" s="11">
        <v>6</v>
      </c>
      <c r="AC517" s="11"/>
      <c r="AD517" s="11"/>
      <c r="AE517" s="11"/>
      <c r="AF517" s="11">
        <v>255</v>
      </c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>
        <v>251</v>
      </c>
      <c r="AR517" s="11"/>
      <c r="AS517" s="11">
        <v>3</v>
      </c>
      <c r="AT517" s="11"/>
      <c r="AU517" s="11">
        <v>1</v>
      </c>
      <c r="AV517" s="11"/>
      <c r="AW517" s="20" t="str">
        <f>HYPERLINK("http://www.openstreetmap.org/?mlat=34.701&amp;mlon=43.6166&amp;zoom=12#map=12/34.701/43.6166","Maplink1")</f>
        <v>Maplink1</v>
      </c>
      <c r="AX517" s="20" t="str">
        <f>HYPERLINK("https://www.google.iq/maps/search/+34.701,43.6166/@34.701,43.6166,14z?hl=en","Maplink2")</f>
        <v>Maplink2</v>
      </c>
      <c r="AY517" s="20" t="str">
        <f>HYPERLINK("http://www.bing.com/maps/?lvl=14&amp;sty=h&amp;cp=34.701~43.6166&amp;sp=point.34.701_43.6166","Maplink3")</f>
        <v>Maplink3</v>
      </c>
    </row>
    <row r="518" spans="1:51" s="19" customFormat="1" x14ac:dyDescent="0.25">
      <c r="A518" s="9">
        <v>23301</v>
      </c>
      <c r="B518" s="10" t="s">
        <v>22</v>
      </c>
      <c r="C518" s="10" t="s">
        <v>661</v>
      </c>
      <c r="D518" s="10" t="s">
        <v>1214</v>
      </c>
      <c r="E518" s="10" t="s">
        <v>1215</v>
      </c>
      <c r="F518" s="10">
        <v>34.573701999999997</v>
      </c>
      <c r="G518" s="10">
        <v>43.6828547</v>
      </c>
      <c r="H518" s="10" t="s">
        <v>612</v>
      </c>
      <c r="I518" s="10" t="s">
        <v>663</v>
      </c>
      <c r="J518" s="10" t="s">
        <v>701</v>
      </c>
      <c r="K518" s="11">
        <v>473</v>
      </c>
      <c r="L518" s="11">
        <v>2838</v>
      </c>
      <c r="M518" s="11"/>
      <c r="N518" s="11"/>
      <c r="O518" s="11">
        <v>37</v>
      </c>
      <c r="P518" s="11"/>
      <c r="Q518" s="11">
        <v>25</v>
      </c>
      <c r="R518" s="11"/>
      <c r="S518" s="11">
        <v>140</v>
      </c>
      <c r="T518" s="11"/>
      <c r="U518" s="11">
        <v>176</v>
      </c>
      <c r="V518" s="11"/>
      <c r="W518" s="11"/>
      <c r="X518" s="11"/>
      <c r="Y518" s="11"/>
      <c r="Z518" s="11"/>
      <c r="AA518" s="11">
        <v>63</v>
      </c>
      <c r="AB518" s="11">
        <v>32</v>
      </c>
      <c r="AC518" s="11"/>
      <c r="AD518" s="11"/>
      <c r="AE518" s="11"/>
      <c r="AF518" s="11">
        <v>440</v>
      </c>
      <c r="AG518" s="11"/>
      <c r="AH518" s="11"/>
      <c r="AI518" s="11"/>
      <c r="AJ518" s="11"/>
      <c r="AK518" s="11"/>
      <c r="AL518" s="11">
        <v>33</v>
      </c>
      <c r="AM518" s="11"/>
      <c r="AN518" s="11"/>
      <c r="AO518" s="11"/>
      <c r="AP518" s="11"/>
      <c r="AQ518" s="11">
        <v>250</v>
      </c>
      <c r="AR518" s="11">
        <v>200</v>
      </c>
      <c r="AS518" s="11">
        <v>23</v>
      </c>
      <c r="AT518" s="11"/>
      <c r="AU518" s="11"/>
      <c r="AV518" s="11"/>
      <c r="AW518" s="20" t="str">
        <f>HYPERLINK("http://www.openstreetmap.org/?mlat=34.5737&amp;mlon=43.6829&amp;zoom=12#map=12/34.5737/43.6829","Maplink1")</f>
        <v>Maplink1</v>
      </c>
      <c r="AX518" s="20" t="str">
        <f>HYPERLINK("https://www.google.iq/maps/search/+34.5737,43.6829/@34.5737,43.6829,14z?hl=en","Maplink2")</f>
        <v>Maplink2</v>
      </c>
      <c r="AY518" s="20" t="str">
        <f>HYPERLINK("http://www.bing.com/maps/?lvl=14&amp;sty=h&amp;cp=34.5737~43.6829&amp;sp=point.34.5737_43.6829","Maplink3")</f>
        <v>Maplink3</v>
      </c>
    </row>
    <row r="519" spans="1:51" s="19" customFormat="1" x14ac:dyDescent="0.25">
      <c r="A519" s="9">
        <v>25961</v>
      </c>
      <c r="B519" s="10" t="s">
        <v>22</v>
      </c>
      <c r="C519" s="10" t="s">
        <v>661</v>
      </c>
      <c r="D519" s="10" t="s">
        <v>1282</v>
      </c>
      <c r="E519" s="10" t="s">
        <v>906</v>
      </c>
      <c r="F519" s="10">
        <v>34.593416900000001</v>
      </c>
      <c r="G519" s="10">
        <v>43.677529309999997</v>
      </c>
      <c r="H519" s="10" t="s">
        <v>612</v>
      </c>
      <c r="I519" s="10" t="s">
        <v>663</v>
      </c>
      <c r="J519" s="10"/>
      <c r="K519" s="11">
        <v>413</v>
      </c>
      <c r="L519" s="11">
        <v>2478</v>
      </c>
      <c r="M519" s="11"/>
      <c r="N519" s="11"/>
      <c r="O519" s="11"/>
      <c r="P519" s="11"/>
      <c r="Q519" s="11"/>
      <c r="R519" s="11"/>
      <c r="S519" s="11">
        <v>112</v>
      </c>
      <c r="T519" s="11"/>
      <c r="U519" s="11">
        <v>174</v>
      </c>
      <c r="V519" s="11"/>
      <c r="W519" s="11"/>
      <c r="X519" s="11"/>
      <c r="Y519" s="11"/>
      <c r="Z519" s="11"/>
      <c r="AA519" s="11">
        <v>127</v>
      </c>
      <c r="AB519" s="11"/>
      <c r="AC519" s="11"/>
      <c r="AD519" s="11"/>
      <c r="AE519" s="11"/>
      <c r="AF519" s="11">
        <v>368</v>
      </c>
      <c r="AG519" s="11"/>
      <c r="AH519" s="11"/>
      <c r="AI519" s="11"/>
      <c r="AJ519" s="11"/>
      <c r="AK519" s="11"/>
      <c r="AL519" s="11">
        <v>45</v>
      </c>
      <c r="AM519" s="11"/>
      <c r="AN519" s="11"/>
      <c r="AO519" s="11"/>
      <c r="AP519" s="11"/>
      <c r="AQ519" s="11">
        <v>283</v>
      </c>
      <c r="AR519" s="11">
        <v>70</v>
      </c>
      <c r="AS519" s="11">
        <v>60</v>
      </c>
      <c r="AT519" s="11"/>
      <c r="AU519" s="11"/>
      <c r="AV519" s="11"/>
      <c r="AW519" s="20" t="str">
        <f>HYPERLINK("http://www.openstreetmap.org/?mlat=34.5934&amp;mlon=43.6775&amp;zoom=12#map=12/34.5934/43.6775","Maplink1")</f>
        <v>Maplink1</v>
      </c>
      <c r="AX519" s="20" t="str">
        <f>HYPERLINK("https://www.google.iq/maps/search/+34.5934,43.6775/@34.5934,43.6775,14z?hl=en","Maplink2")</f>
        <v>Maplink2</v>
      </c>
      <c r="AY519" s="20" t="str">
        <f>HYPERLINK("http://www.bing.com/maps/?lvl=14&amp;sty=h&amp;cp=34.5934~43.6775&amp;sp=point.34.5934_43.6775","Maplink3")</f>
        <v>Maplink3</v>
      </c>
    </row>
    <row r="520" spans="1:51" s="19" customFormat="1" x14ac:dyDescent="0.25">
      <c r="A520" s="9">
        <v>23244</v>
      </c>
      <c r="B520" s="10" t="s">
        <v>22</v>
      </c>
      <c r="C520" s="10" t="s">
        <v>661</v>
      </c>
      <c r="D520" s="10" t="s">
        <v>1216</v>
      </c>
      <c r="E520" s="10" t="s">
        <v>108</v>
      </c>
      <c r="F520" s="10">
        <v>34.6864536</v>
      </c>
      <c r="G520" s="10">
        <v>43.716350300000002</v>
      </c>
      <c r="H520" s="10" t="s">
        <v>612</v>
      </c>
      <c r="I520" s="10" t="s">
        <v>663</v>
      </c>
      <c r="J520" s="10" t="s">
        <v>665</v>
      </c>
      <c r="K520" s="11">
        <v>292</v>
      </c>
      <c r="L520" s="11">
        <v>1752</v>
      </c>
      <c r="M520" s="11"/>
      <c r="N520" s="11"/>
      <c r="O520" s="11">
        <v>14</v>
      </c>
      <c r="P520" s="11"/>
      <c r="Q520" s="11"/>
      <c r="R520" s="11"/>
      <c r="S520" s="11">
        <v>29</v>
      </c>
      <c r="T520" s="11"/>
      <c r="U520" s="11">
        <v>116</v>
      </c>
      <c r="V520" s="11"/>
      <c r="W520" s="11"/>
      <c r="X520" s="11"/>
      <c r="Y520" s="11"/>
      <c r="Z520" s="11"/>
      <c r="AA520" s="11">
        <v>133</v>
      </c>
      <c r="AB520" s="11"/>
      <c r="AC520" s="11"/>
      <c r="AD520" s="11"/>
      <c r="AE520" s="11"/>
      <c r="AF520" s="11">
        <v>280</v>
      </c>
      <c r="AG520" s="11"/>
      <c r="AH520" s="11"/>
      <c r="AI520" s="11"/>
      <c r="AJ520" s="11"/>
      <c r="AK520" s="11"/>
      <c r="AL520" s="11">
        <v>12</v>
      </c>
      <c r="AM520" s="11"/>
      <c r="AN520" s="11"/>
      <c r="AO520" s="11"/>
      <c r="AP520" s="11"/>
      <c r="AQ520" s="11">
        <v>280</v>
      </c>
      <c r="AR520" s="11">
        <v>12</v>
      </c>
      <c r="AS520" s="11"/>
      <c r="AT520" s="11"/>
      <c r="AU520" s="11"/>
      <c r="AV520" s="11"/>
      <c r="AW520" s="20" t="str">
        <f>HYPERLINK("http://www.openstreetmap.org/?mlat=34.6865&amp;mlon=43.7164&amp;zoom=12#map=12/34.6865/43.7164","Maplink1")</f>
        <v>Maplink1</v>
      </c>
      <c r="AX520" s="20" t="str">
        <f>HYPERLINK("https://www.google.iq/maps/search/+34.6865,43.7164/@34.6865,43.7164,14z?hl=en","Maplink2")</f>
        <v>Maplink2</v>
      </c>
      <c r="AY520" s="20" t="str">
        <f>HYPERLINK("http://www.bing.com/maps/?lvl=14&amp;sty=h&amp;cp=34.6865~43.7164&amp;sp=point.34.6865_43.7164","Maplink3")</f>
        <v>Maplink3</v>
      </c>
    </row>
    <row r="521" spans="1:51" s="19" customFormat="1" x14ac:dyDescent="0.25">
      <c r="A521" s="9">
        <v>23206</v>
      </c>
      <c r="B521" s="10" t="s">
        <v>22</v>
      </c>
      <c r="C521" s="10" t="s">
        <v>661</v>
      </c>
      <c r="D521" s="10" t="s">
        <v>693</v>
      </c>
      <c r="E521" s="10" t="s">
        <v>907</v>
      </c>
      <c r="F521" s="10">
        <v>34.602993669999996</v>
      </c>
      <c r="G521" s="10">
        <v>43.677188630000003</v>
      </c>
      <c r="H521" s="10" t="s">
        <v>612</v>
      </c>
      <c r="I521" s="10" t="s">
        <v>663</v>
      </c>
      <c r="J521" s="10" t="s">
        <v>694</v>
      </c>
      <c r="K521" s="11">
        <v>419</v>
      </c>
      <c r="L521" s="11">
        <v>2514</v>
      </c>
      <c r="M521" s="11"/>
      <c r="N521" s="11"/>
      <c r="O521" s="11">
        <v>72</v>
      </c>
      <c r="P521" s="11"/>
      <c r="Q521" s="11">
        <v>18</v>
      </c>
      <c r="R521" s="11"/>
      <c r="S521" s="11">
        <v>55</v>
      </c>
      <c r="T521" s="11"/>
      <c r="U521" s="11">
        <v>185</v>
      </c>
      <c r="V521" s="11"/>
      <c r="W521" s="11"/>
      <c r="X521" s="11"/>
      <c r="Y521" s="11"/>
      <c r="Z521" s="11"/>
      <c r="AA521" s="11">
        <v>50</v>
      </c>
      <c r="AB521" s="11">
        <v>39</v>
      </c>
      <c r="AC521" s="11"/>
      <c r="AD521" s="11"/>
      <c r="AE521" s="11"/>
      <c r="AF521" s="11">
        <v>384</v>
      </c>
      <c r="AG521" s="11"/>
      <c r="AH521" s="11"/>
      <c r="AI521" s="11"/>
      <c r="AJ521" s="11"/>
      <c r="AK521" s="11"/>
      <c r="AL521" s="11">
        <v>35</v>
      </c>
      <c r="AM521" s="11"/>
      <c r="AN521" s="11"/>
      <c r="AO521" s="11"/>
      <c r="AP521" s="11"/>
      <c r="AQ521" s="11">
        <v>350</v>
      </c>
      <c r="AR521" s="11">
        <v>65</v>
      </c>
      <c r="AS521" s="11">
        <v>4</v>
      </c>
      <c r="AT521" s="11"/>
      <c r="AU521" s="11"/>
      <c r="AV521" s="11"/>
      <c r="AW521" s="20" t="str">
        <f>HYPERLINK("http://www.openstreetmap.org/?mlat=34.603&amp;mlon=43.6772&amp;zoom=12#map=12/34.603/43.6772","Maplink1")</f>
        <v>Maplink1</v>
      </c>
      <c r="AX521" s="20" t="str">
        <f>HYPERLINK("https://www.google.iq/maps/search/+34.603,43.6772/@34.603,43.6772,14z?hl=en","Maplink2")</f>
        <v>Maplink2</v>
      </c>
      <c r="AY521" s="20" t="str">
        <f>HYPERLINK("http://www.bing.com/maps/?lvl=14&amp;sty=h&amp;cp=34.603~43.6772&amp;sp=point.34.603_43.6772","Maplink3")</f>
        <v>Maplink3</v>
      </c>
    </row>
    <row r="522" spans="1:51" s="19" customFormat="1" x14ac:dyDescent="0.25">
      <c r="A522" s="9">
        <v>24247</v>
      </c>
      <c r="B522" s="10" t="s">
        <v>22</v>
      </c>
      <c r="C522" s="10" t="s">
        <v>661</v>
      </c>
      <c r="D522" s="10" t="s">
        <v>695</v>
      </c>
      <c r="E522" s="10" t="s">
        <v>696</v>
      </c>
      <c r="F522" s="10">
        <v>34.691659899999998</v>
      </c>
      <c r="G522" s="10">
        <v>43.710122949999999</v>
      </c>
      <c r="H522" s="10" t="s">
        <v>612</v>
      </c>
      <c r="I522" s="10" t="s">
        <v>663</v>
      </c>
      <c r="J522" s="10" t="s">
        <v>697</v>
      </c>
      <c r="K522" s="11">
        <v>45</v>
      </c>
      <c r="L522" s="11">
        <v>270</v>
      </c>
      <c r="M522" s="11"/>
      <c r="N522" s="11"/>
      <c r="O522" s="11"/>
      <c r="P522" s="11"/>
      <c r="Q522" s="11"/>
      <c r="R522" s="11"/>
      <c r="S522" s="11"/>
      <c r="T522" s="11"/>
      <c r="U522" s="11">
        <v>45</v>
      </c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>
        <v>45</v>
      </c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>
        <v>45</v>
      </c>
      <c r="AS522" s="11"/>
      <c r="AT522" s="11"/>
      <c r="AU522" s="11"/>
      <c r="AV522" s="11"/>
      <c r="AW522" s="20" t="str">
        <f>HYPERLINK("http://www.openstreetmap.org/?mlat=34.6917&amp;mlon=43.7101&amp;zoom=12#map=12/34.6917/43.7101","Maplink1")</f>
        <v>Maplink1</v>
      </c>
      <c r="AX522" s="20" t="str">
        <f>HYPERLINK("https://www.google.iq/maps/search/+34.6917,43.7101/@34.6917,43.7101,14z?hl=en","Maplink2")</f>
        <v>Maplink2</v>
      </c>
      <c r="AY522" s="20" t="str">
        <f>HYPERLINK("http://www.bing.com/maps/?lvl=14&amp;sty=h&amp;cp=34.6917~43.7101&amp;sp=point.34.6917_43.7101","Maplink3")</f>
        <v>Maplink3</v>
      </c>
    </row>
    <row r="523" spans="1:51" s="19" customFormat="1" x14ac:dyDescent="0.25">
      <c r="A523" s="9">
        <v>22331</v>
      </c>
      <c r="B523" s="10" t="s">
        <v>22</v>
      </c>
      <c r="C523" s="10" t="s">
        <v>661</v>
      </c>
      <c r="D523" s="10" t="s">
        <v>1217</v>
      </c>
      <c r="E523" s="10" t="s">
        <v>1218</v>
      </c>
      <c r="F523" s="10">
        <v>34.611737460000001</v>
      </c>
      <c r="G523" s="10">
        <v>43.673758929999998</v>
      </c>
      <c r="H523" s="10" t="s">
        <v>612</v>
      </c>
      <c r="I523" s="10" t="s">
        <v>663</v>
      </c>
      <c r="J523" s="10" t="s">
        <v>702</v>
      </c>
      <c r="K523" s="11">
        <v>505</v>
      </c>
      <c r="L523" s="11">
        <v>3030</v>
      </c>
      <c r="M523" s="11"/>
      <c r="N523" s="11"/>
      <c r="O523" s="11">
        <v>6</v>
      </c>
      <c r="P523" s="11"/>
      <c r="Q523" s="11"/>
      <c r="R523" s="11"/>
      <c r="S523" s="11">
        <v>115</v>
      </c>
      <c r="T523" s="11"/>
      <c r="U523" s="11">
        <v>257</v>
      </c>
      <c r="V523" s="11"/>
      <c r="W523" s="11"/>
      <c r="X523" s="11"/>
      <c r="Y523" s="11"/>
      <c r="Z523" s="11"/>
      <c r="AA523" s="11">
        <v>52</v>
      </c>
      <c r="AB523" s="11">
        <v>75</v>
      </c>
      <c r="AC523" s="11"/>
      <c r="AD523" s="11"/>
      <c r="AE523" s="11"/>
      <c r="AF523" s="11">
        <v>484</v>
      </c>
      <c r="AG523" s="11"/>
      <c r="AH523" s="11"/>
      <c r="AI523" s="11"/>
      <c r="AJ523" s="11"/>
      <c r="AK523" s="11"/>
      <c r="AL523" s="11">
        <v>21</v>
      </c>
      <c r="AM523" s="11"/>
      <c r="AN523" s="11"/>
      <c r="AO523" s="11"/>
      <c r="AP523" s="11"/>
      <c r="AQ523" s="11">
        <v>5</v>
      </c>
      <c r="AR523" s="11">
        <v>430</v>
      </c>
      <c r="AS523" s="11">
        <v>70</v>
      </c>
      <c r="AT523" s="11"/>
      <c r="AU523" s="11"/>
      <c r="AV523" s="11"/>
      <c r="AW523" s="20" t="str">
        <f>HYPERLINK("http://www.openstreetmap.org/?mlat=34.6117&amp;mlon=43.6738&amp;zoom=12#map=12/34.6117/43.6738","Maplink1")</f>
        <v>Maplink1</v>
      </c>
      <c r="AX523" s="20" t="str">
        <f>HYPERLINK("https://www.google.iq/maps/search/+34.6117,43.6738/@34.6117,43.6738,14z?hl=en","Maplink2")</f>
        <v>Maplink2</v>
      </c>
      <c r="AY523" s="20" t="str">
        <f>HYPERLINK("http://www.bing.com/maps/?lvl=14&amp;sty=h&amp;cp=34.6117~43.6738&amp;sp=point.34.6117_43.6738","Maplink3")</f>
        <v>Maplink3</v>
      </c>
    </row>
    <row r="524" spans="1:51" s="19" customFormat="1" x14ac:dyDescent="0.25">
      <c r="A524" s="9">
        <v>20638</v>
      </c>
      <c r="B524" s="10" t="s">
        <v>22</v>
      </c>
      <c r="C524" s="10" t="s">
        <v>661</v>
      </c>
      <c r="D524" s="10" t="s">
        <v>927</v>
      </c>
      <c r="E524" s="10" t="s">
        <v>293</v>
      </c>
      <c r="F524" s="10">
        <v>34.633057360000002</v>
      </c>
      <c r="G524" s="10">
        <v>43.667286799999999</v>
      </c>
      <c r="H524" s="10" t="s">
        <v>612</v>
      </c>
      <c r="I524" s="10" t="s">
        <v>663</v>
      </c>
      <c r="J524" s="10" t="s">
        <v>928</v>
      </c>
      <c r="K524" s="11">
        <v>800</v>
      </c>
      <c r="L524" s="11">
        <v>4800</v>
      </c>
      <c r="M524" s="11"/>
      <c r="N524" s="11"/>
      <c r="O524" s="11">
        <v>43</v>
      </c>
      <c r="P524" s="11"/>
      <c r="Q524" s="11">
        <v>27</v>
      </c>
      <c r="R524" s="11"/>
      <c r="S524" s="11">
        <v>235</v>
      </c>
      <c r="T524" s="11"/>
      <c r="U524" s="11">
        <v>390</v>
      </c>
      <c r="V524" s="11"/>
      <c r="W524" s="11"/>
      <c r="X524" s="11"/>
      <c r="Y524" s="11"/>
      <c r="Z524" s="11"/>
      <c r="AA524" s="11">
        <v>55</v>
      </c>
      <c r="AB524" s="11">
        <v>50</v>
      </c>
      <c r="AC524" s="11"/>
      <c r="AD524" s="11"/>
      <c r="AE524" s="11"/>
      <c r="AF524" s="11">
        <v>570</v>
      </c>
      <c r="AG524" s="11"/>
      <c r="AH524" s="11"/>
      <c r="AI524" s="11"/>
      <c r="AJ524" s="11"/>
      <c r="AK524" s="11"/>
      <c r="AL524" s="11">
        <v>230</v>
      </c>
      <c r="AM524" s="11"/>
      <c r="AN524" s="11"/>
      <c r="AO524" s="11"/>
      <c r="AP524" s="11"/>
      <c r="AQ524" s="11">
        <v>365</v>
      </c>
      <c r="AR524" s="11">
        <v>335</v>
      </c>
      <c r="AS524" s="11">
        <v>100</v>
      </c>
      <c r="AT524" s="11"/>
      <c r="AU524" s="11"/>
      <c r="AV524" s="11"/>
      <c r="AW524" s="20" t="str">
        <f>HYPERLINK("http://www.openstreetmap.org/?mlat=34.6331&amp;mlon=43.6673&amp;zoom=12#map=12/34.6331/43.6673","Maplink1")</f>
        <v>Maplink1</v>
      </c>
      <c r="AX524" s="20" t="str">
        <f>HYPERLINK("https://www.google.iq/maps/search/+34.6331,43.6673/@34.6331,43.6673,14z?hl=en","Maplink2")</f>
        <v>Maplink2</v>
      </c>
      <c r="AY524" s="20" t="str">
        <f>HYPERLINK("http://www.bing.com/maps/?lvl=14&amp;sty=h&amp;cp=34.6331~43.6673&amp;sp=point.34.6331_43.6673","Maplink3")</f>
        <v>Maplink3</v>
      </c>
    </row>
    <row r="525" spans="1:51" s="19" customFormat="1" x14ac:dyDescent="0.25">
      <c r="A525" s="9">
        <v>20608</v>
      </c>
      <c r="B525" s="10" t="s">
        <v>22</v>
      </c>
      <c r="C525" s="10" t="s">
        <v>661</v>
      </c>
      <c r="D525" s="10" t="s">
        <v>698</v>
      </c>
      <c r="E525" s="10" t="s">
        <v>1219</v>
      </c>
      <c r="F525" s="10">
        <v>34.6975962</v>
      </c>
      <c r="G525" s="10">
        <v>43.718533999999998</v>
      </c>
      <c r="H525" s="10" t="s">
        <v>612</v>
      </c>
      <c r="I525" s="10" t="s">
        <v>663</v>
      </c>
      <c r="J525" s="10" t="s">
        <v>699</v>
      </c>
      <c r="K525" s="11">
        <v>775</v>
      </c>
      <c r="L525" s="11">
        <v>4650</v>
      </c>
      <c r="M525" s="11"/>
      <c r="N525" s="11"/>
      <c r="O525" s="11"/>
      <c r="P525" s="11"/>
      <c r="Q525" s="11"/>
      <c r="R525" s="11"/>
      <c r="S525" s="11"/>
      <c r="T525" s="11"/>
      <c r="U525" s="11">
        <v>775</v>
      </c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>
        <v>770</v>
      </c>
      <c r="AG525" s="11"/>
      <c r="AH525" s="11"/>
      <c r="AI525" s="11"/>
      <c r="AJ525" s="11"/>
      <c r="AK525" s="11"/>
      <c r="AL525" s="11">
        <v>5</v>
      </c>
      <c r="AM525" s="11"/>
      <c r="AN525" s="11"/>
      <c r="AO525" s="11"/>
      <c r="AP525" s="11">
        <v>5</v>
      </c>
      <c r="AQ525" s="11"/>
      <c r="AR525" s="11">
        <v>420</v>
      </c>
      <c r="AS525" s="11">
        <v>350</v>
      </c>
      <c r="AT525" s="11"/>
      <c r="AU525" s="11"/>
      <c r="AV525" s="11"/>
      <c r="AW525" s="20" t="str">
        <f>HYPERLINK("http://www.openstreetmap.org/?mlat=34.6976&amp;mlon=43.7185&amp;zoom=12#map=12/34.6976/43.7185","Maplink1")</f>
        <v>Maplink1</v>
      </c>
      <c r="AX525" s="20" t="str">
        <f>HYPERLINK("https://www.google.iq/maps/search/+34.6976,43.7185/@34.6976,43.7185,14z?hl=en","Maplink2")</f>
        <v>Maplink2</v>
      </c>
      <c r="AY525" s="20" t="str">
        <f>HYPERLINK("http://www.bing.com/maps/?lvl=14&amp;sty=h&amp;cp=34.6976~43.7185&amp;sp=point.34.6976_43.7185","Maplink3")</f>
        <v>Maplink3</v>
      </c>
    </row>
    <row r="526" spans="1:51" s="19" customFormat="1" x14ac:dyDescent="0.25">
      <c r="A526" s="9">
        <v>25960</v>
      </c>
      <c r="B526" s="10" t="s">
        <v>22</v>
      </c>
      <c r="C526" s="10" t="s">
        <v>661</v>
      </c>
      <c r="D526" s="10" t="s">
        <v>1220</v>
      </c>
      <c r="E526" s="10" t="s">
        <v>908</v>
      </c>
      <c r="F526" s="10">
        <v>34.595911000000001</v>
      </c>
      <c r="G526" s="10">
        <v>43.673602029999998</v>
      </c>
      <c r="H526" s="10" t="s">
        <v>612</v>
      </c>
      <c r="I526" s="10" t="s">
        <v>663</v>
      </c>
      <c r="J526" s="10"/>
      <c r="K526" s="11">
        <v>1153</v>
      </c>
      <c r="L526" s="11">
        <v>6918</v>
      </c>
      <c r="M526" s="11"/>
      <c r="N526" s="11"/>
      <c r="O526" s="11">
        <v>36</v>
      </c>
      <c r="P526" s="11"/>
      <c r="Q526" s="11">
        <v>7</v>
      </c>
      <c r="R526" s="11"/>
      <c r="S526" s="11">
        <v>289</v>
      </c>
      <c r="T526" s="11"/>
      <c r="U526" s="11">
        <v>355</v>
      </c>
      <c r="V526" s="11"/>
      <c r="W526" s="11"/>
      <c r="X526" s="11"/>
      <c r="Y526" s="11"/>
      <c r="Z526" s="11"/>
      <c r="AA526" s="11">
        <v>443</v>
      </c>
      <c r="AB526" s="11">
        <v>23</v>
      </c>
      <c r="AC526" s="11"/>
      <c r="AD526" s="11"/>
      <c r="AE526" s="11"/>
      <c r="AF526" s="11">
        <v>553</v>
      </c>
      <c r="AG526" s="11"/>
      <c r="AH526" s="11"/>
      <c r="AI526" s="11"/>
      <c r="AJ526" s="11"/>
      <c r="AK526" s="11"/>
      <c r="AL526" s="11">
        <v>600</v>
      </c>
      <c r="AM526" s="11"/>
      <c r="AN526" s="11"/>
      <c r="AO526" s="11"/>
      <c r="AP526" s="11"/>
      <c r="AQ526" s="11">
        <v>509</v>
      </c>
      <c r="AR526" s="11">
        <v>450</v>
      </c>
      <c r="AS526" s="11">
        <v>188</v>
      </c>
      <c r="AT526" s="11"/>
      <c r="AU526" s="11"/>
      <c r="AV526" s="11">
        <v>6</v>
      </c>
      <c r="AW526" s="20" t="str">
        <f>HYPERLINK("http://www.openstreetmap.org/?mlat=34.5959&amp;mlon=43.6736&amp;zoom=12#map=12/34.5959/43.6736","Maplink1")</f>
        <v>Maplink1</v>
      </c>
      <c r="AX526" s="20" t="str">
        <f>HYPERLINK("https://www.google.iq/maps/search/+34.5959,43.6736/@34.5959,43.6736,14z?hl=en","Maplink2")</f>
        <v>Maplink2</v>
      </c>
      <c r="AY526" s="20" t="str">
        <f>HYPERLINK("http://www.bing.com/maps/?lvl=14&amp;sty=h&amp;cp=34.5959~43.6736&amp;sp=point.34.5959_43.6736","Maplink3")</f>
        <v>Maplink3</v>
      </c>
    </row>
    <row r="527" spans="1:51" s="19" customFormat="1" x14ac:dyDescent="0.25">
      <c r="A527" s="9">
        <v>22812</v>
      </c>
      <c r="B527" s="10" t="s">
        <v>22</v>
      </c>
      <c r="C527" s="10" t="s">
        <v>661</v>
      </c>
      <c r="D527" s="10" t="s">
        <v>1221</v>
      </c>
      <c r="E527" s="10" t="s">
        <v>1222</v>
      </c>
      <c r="F527" s="10">
        <v>34.607597720000001</v>
      </c>
      <c r="G527" s="10">
        <v>43.675257209999998</v>
      </c>
      <c r="H527" s="10" t="s">
        <v>612</v>
      </c>
      <c r="I527" s="10" t="s">
        <v>663</v>
      </c>
      <c r="J527" s="10" t="s">
        <v>703</v>
      </c>
      <c r="K527" s="11">
        <v>740</v>
      </c>
      <c r="L527" s="11">
        <v>4440</v>
      </c>
      <c r="M527" s="11"/>
      <c r="N527" s="11"/>
      <c r="O527" s="11">
        <v>18</v>
      </c>
      <c r="P527" s="11"/>
      <c r="Q527" s="11"/>
      <c r="R527" s="11"/>
      <c r="S527" s="11">
        <v>229</v>
      </c>
      <c r="T527" s="11"/>
      <c r="U527" s="11">
        <v>307</v>
      </c>
      <c r="V527" s="11"/>
      <c r="W527" s="11"/>
      <c r="X527" s="11"/>
      <c r="Y527" s="11"/>
      <c r="Z527" s="11"/>
      <c r="AA527" s="11">
        <v>37</v>
      </c>
      <c r="AB527" s="11">
        <v>149</v>
      </c>
      <c r="AC527" s="11"/>
      <c r="AD527" s="11"/>
      <c r="AE527" s="11"/>
      <c r="AF527" s="11">
        <v>740</v>
      </c>
      <c r="AG527" s="11"/>
      <c r="AH527" s="11"/>
      <c r="AI527" s="11"/>
      <c r="AJ527" s="11"/>
      <c r="AK527" s="11"/>
      <c r="AL527" s="11"/>
      <c r="AM527" s="11"/>
      <c r="AN527" s="11"/>
      <c r="AO527" s="11"/>
      <c r="AP527" s="11">
        <v>15</v>
      </c>
      <c r="AQ527" s="11">
        <v>685</v>
      </c>
      <c r="AR527" s="11">
        <v>40</v>
      </c>
      <c r="AS527" s="11"/>
      <c r="AT527" s="11"/>
      <c r="AU527" s="11"/>
      <c r="AV527" s="11"/>
      <c r="AW527" s="20" t="str">
        <f>HYPERLINK("http://www.openstreetmap.org/?mlat=34.6076&amp;mlon=43.6753&amp;zoom=12#map=12/34.6076/43.6753","Maplink1")</f>
        <v>Maplink1</v>
      </c>
      <c r="AX527" s="20" t="str">
        <f>HYPERLINK("https://www.google.iq/maps/search/+34.6076,43.6753/@34.6076,43.6753,14z?hl=en","Maplink2")</f>
        <v>Maplink2</v>
      </c>
      <c r="AY527" s="20" t="str">
        <f>HYPERLINK("http://www.bing.com/maps/?lvl=14&amp;sty=h&amp;cp=34.6076~43.6753&amp;sp=point.34.6076_43.6753","Maplink3")</f>
        <v>Maplink3</v>
      </c>
    </row>
    <row r="528" spans="1:51" s="19" customFormat="1" x14ac:dyDescent="0.25">
      <c r="A528" s="9">
        <v>21592</v>
      </c>
      <c r="B528" s="10" t="s">
        <v>22</v>
      </c>
      <c r="C528" s="10" t="s">
        <v>661</v>
      </c>
      <c r="D528" s="10" t="s">
        <v>759</v>
      </c>
      <c r="E528" s="10" t="s">
        <v>1223</v>
      </c>
      <c r="F528" s="10">
        <v>34.71238906</v>
      </c>
      <c r="G528" s="10">
        <v>43.706515959999997</v>
      </c>
      <c r="H528" s="10" t="s">
        <v>612</v>
      </c>
      <c r="I528" s="10" t="s">
        <v>663</v>
      </c>
      <c r="J528" s="10" t="s">
        <v>700</v>
      </c>
      <c r="K528" s="11">
        <v>765</v>
      </c>
      <c r="L528" s="11">
        <v>4590</v>
      </c>
      <c r="M528" s="11"/>
      <c r="N528" s="11"/>
      <c r="O528" s="11"/>
      <c r="P528" s="11"/>
      <c r="Q528" s="11"/>
      <c r="R528" s="11"/>
      <c r="S528" s="11">
        <v>200</v>
      </c>
      <c r="T528" s="11"/>
      <c r="U528" s="11">
        <v>415</v>
      </c>
      <c r="V528" s="11"/>
      <c r="W528" s="11"/>
      <c r="X528" s="11"/>
      <c r="Y528" s="11"/>
      <c r="Z528" s="11"/>
      <c r="AA528" s="11">
        <v>150</v>
      </c>
      <c r="AB528" s="11"/>
      <c r="AC528" s="11"/>
      <c r="AD528" s="11"/>
      <c r="AE528" s="11"/>
      <c r="AF528" s="11">
        <v>765</v>
      </c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>
        <v>615</v>
      </c>
      <c r="AR528" s="11"/>
      <c r="AS528" s="11">
        <v>150</v>
      </c>
      <c r="AT528" s="11"/>
      <c r="AU528" s="11"/>
      <c r="AV528" s="11"/>
      <c r="AW528" s="20" t="str">
        <f>HYPERLINK("http://www.openstreetmap.org/?mlat=34.7124&amp;mlon=43.7065&amp;zoom=12#map=12/34.7124/43.7065","Maplink1")</f>
        <v>Maplink1</v>
      </c>
      <c r="AX528" s="20" t="str">
        <f>HYPERLINK("https://www.google.iq/maps/search/+34.7124,43.7065/@34.7124,43.7065,14z?hl=en","Maplink2")</f>
        <v>Maplink2</v>
      </c>
      <c r="AY528" s="20" t="str">
        <f>HYPERLINK("http://www.bing.com/maps/?lvl=14&amp;sty=h&amp;cp=34.7124~43.7065&amp;sp=point.34.7124_43.7065","Maplink3")</f>
        <v>Maplink3</v>
      </c>
    </row>
    <row r="529" spans="1:51" s="19" customFormat="1" x14ac:dyDescent="0.25">
      <c r="A529" s="9">
        <v>22468</v>
      </c>
      <c r="B529" s="10" t="s">
        <v>22</v>
      </c>
      <c r="C529" s="10" t="s">
        <v>661</v>
      </c>
      <c r="D529" s="10" t="s">
        <v>1224</v>
      </c>
      <c r="E529" s="10" t="s">
        <v>1283</v>
      </c>
      <c r="F529" s="10">
        <v>34.587520099999999</v>
      </c>
      <c r="G529" s="10">
        <v>43.673181399999997</v>
      </c>
      <c r="H529" s="10" t="s">
        <v>612</v>
      </c>
      <c r="I529" s="10" t="s">
        <v>663</v>
      </c>
      <c r="J529" s="10" t="s">
        <v>709</v>
      </c>
      <c r="K529" s="11">
        <v>1262</v>
      </c>
      <c r="L529" s="11">
        <v>7572</v>
      </c>
      <c r="M529" s="11"/>
      <c r="N529" s="11"/>
      <c r="O529" s="11">
        <v>23</v>
      </c>
      <c r="P529" s="11"/>
      <c r="Q529" s="11"/>
      <c r="R529" s="11"/>
      <c r="S529" s="11">
        <v>377</v>
      </c>
      <c r="T529" s="11"/>
      <c r="U529" s="11">
        <v>753</v>
      </c>
      <c r="V529" s="11"/>
      <c r="W529" s="11"/>
      <c r="X529" s="11"/>
      <c r="Y529" s="11"/>
      <c r="Z529" s="11"/>
      <c r="AA529" s="11">
        <v>7</v>
      </c>
      <c r="AB529" s="11">
        <v>102</v>
      </c>
      <c r="AC529" s="11"/>
      <c r="AD529" s="11"/>
      <c r="AE529" s="11"/>
      <c r="AF529" s="11">
        <v>1204</v>
      </c>
      <c r="AG529" s="11"/>
      <c r="AH529" s="11"/>
      <c r="AI529" s="11"/>
      <c r="AJ529" s="11"/>
      <c r="AK529" s="11"/>
      <c r="AL529" s="11">
        <v>58</v>
      </c>
      <c r="AM529" s="11"/>
      <c r="AN529" s="11"/>
      <c r="AO529" s="11"/>
      <c r="AP529" s="11"/>
      <c r="AQ529" s="11">
        <v>885</v>
      </c>
      <c r="AR529" s="11">
        <v>364</v>
      </c>
      <c r="AS529" s="11">
        <v>13</v>
      </c>
      <c r="AT529" s="11"/>
      <c r="AU529" s="11"/>
      <c r="AV529" s="11"/>
      <c r="AW529" s="20" t="str">
        <f>HYPERLINK("http://www.openstreetmap.org/?mlat=34.5875&amp;mlon=43.6732&amp;zoom=12#map=12/34.5875/43.6732","Maplink1")</f>
        <v>Maplink1</v>
      </c>
      <c r="AX529" s="20" t="str">
        <f>HYPERLINK("https://www.google.iq/maps/search/+34.5875,43.6732/@34.5875,43.6732,14z?hl=en","Maplink2")</f>
        <v>Maplink2</v>
      </c>
      <c r="AY529" s="20" t="str">
        <f>HYPERLINK("http://www.bing.com/maps/?lvl=14&amp;sty=h&amp;cp=34.5875~43.6732&amp;sp=point.34.5875_43.6732","Maplink3")</f>
        <v>Maplink3</v>
      </c>
    </row>
    <row r="530" spans="1:51" s="19" customFormat="1" x14ac:dyDescent="0.25">
      <c r="A530" s="9">
        <v>28412</v>
      </c>
      <c r="B530" s="10" t="s">
        <v>22</v>
      </c>
      <c r="C530" s="10" t="s">
        <v>661</v>
      </c>
      <c r="D530" s="10" t="s">
        <v>704</v>
      </c>
      <c r="E530" s="10" t="s">
        <v>705</v>
      </c>
      <c r="F530" s="10">
        <v>34.602280720000003</v>
      </c>
      <c r="G530" s="10">
        <v>43.671030809999998</v>
      </c>
      <c r="H530" s="10" t="s">
        <v>612</v>
      </c>
      <c r="I530" s="10"/>
      <c r="J530" s="10"/>
      <c r="K530" s="11">
        <v>118</v>
      </c>
      <c r="L530" s="11">
        <v>708</v>
      </c>
      <c r="M530" s="11"/>
      <c r="N530" s="11"/>
      <c r="O530" s="11"/>
      <c r="P530" s="11"/>
      <c r="Q530" s="11"/>
      <c r="R530" s="11"/>
      <c r="S530" s="11"/>
      <c r="T530" s="11"/>
      <c r="U530" s="11">
        <v>3</v>
      </c>
      <c r="V530" s="11"/>
      <c r="W530" s="11"/>
      <c r="X530" s="11"/>
      <c r="Y530" s="11"/>
      <c r="Z530" s="11"/>
      <c r="AA530" s="11">
        <v>115</v>
      </c>
      <c r="AB530" s="11"/>
      <c r="AC530" s="11"/>
      <c r="AD530" s="11"/>
      <c r="AE530" s="11"/>
      <c r="AF530" s="11">
        <v>90</v>
      </c>
      <c r="AG530" s="11"/>
      <c r="AH530" s="11"/>
      <c r="AI530" s="11"/>
      <c r="AJ530" s="11"/>
      <c r="AK530" s="11"/>
      <c r="AL530" s="11">
        <v>28</v>
      </c>
      <c r="AM530" s="11"/>
      <c r="AN530" s="11"/>
      <c r="AO530" s="11"/>
      <c r="AP530" s="11"/>
      <c r="AQ530" s="11">
        <v>75</v>
      </c>
      <c r="AR530" s="11">
        <v>23</v>
      </c>
      <c r="AS530" s="11">
        <v>20</v>
      </c>
      <c r="AT530" s="11"/>
      <c r="AU530" s="11"/>
      <c r="AV530" s="11"/>
      <c r="AW530" s="20" t="str">
        <f>HYPERLINK("http://www.openstreetmap.org/?mlat=34.6023&amp;mlon=43.671&amp;zoom=12#map=12/34.6023/43.671","Maplink1")</f>
        <v>Maplink1</v>
      </c>
      <c r="AX530" s="20" t="str">
        <f>HYPERLINK("https://www.google.iq/maps/search/+34.6023,43.671/@34.6023,43.671,14z?hl=en","Maplink2")</f>
        <v>Maplink2</v>
      </c>
      <c r="AY530" s="20" t="str">
        <f>HYPERLINK("http://www.bing.com/maps/?lvl=14&amp;sty=h&amp;cp=34.6023~43.671&amp;sp=point.34.6023_43.671","Maplink3")</f>
        <v>Maplink3</v>
      </c>
    </row>
    <row r="531" spans="1:51" s="19" customFormat="1" x14ac:dyDescent="0.25">
      <c r="A531" s="9">
        <v>28478</v>
      </c>
      <c r="B531" s="10" t="s">
        <v>22</v>
      </c>
      <c r="C531" s="10" t="s">
        <v>661</v>
      </c>
      <c r="D531" s="10" t="s">
        <v>929</v>
      </c>
      <c r="E531" s="10" t="s">
        <v>552</v>
      </c>
      <c r="F531" s="10">
        <v>34.596666710000001</v>
      </c>
      <c r="G531" s="10">
        <v>43.673562429999997</v>
      </c>
      <c r="H531" s="10" t="s">
        <v>612</v>
      </c>
      <c r="I531" s="10" t="s">
        <v>663</v>
      </c>
      <c r="J531" s="10"/>
      <c r="K531" s="11">
        <v>206</v>
      </c>
      <c r="L531" s="11">
        <v>1236</v>
      </c>
      <c r="M531" s="11"/>
      <c r="N531" s="11"/>
      <c r="O531" s="11"/>
      <c r="P531" s="11"/>
      <c r="Q531" s="11"/>
      <c r="R531" s="11"/>
      <c r="S531" s="11">
        <v>95</v>
      </c>
      <c r="T531" s="11"/>
      <c r="U531" s="11">
        <v>105</v>
      </c>
      <c r="V531" s="11"/>
      <c r="W531" s="11"/>
      <c r="X531" s="11"/>
      <c r="Y531" s="11"/>
      <c r="Z531" s="11"/>
      <c r="AA531" s="11">
        <v>6</v>
      </c>
      <c r="AB531" s="11"/>
      <c r="AC531" s="11"/>
      <c r="AD531" s="11"/>
      <c r="AE531" s="11"/>
      <c r="AF531" s="11">
        <v>185</v>
      </c>
      <c r="AG531" s="11"/>
      <c r="AH531" s="11"/>
      <c r="AI531" s="11"/>
      <c r="AJ531" s="11"/>
      <c r="AK531" s="11"/>
      <c r="AL531" s="11">
        <v>21</v>
      </c>
      <c r="AM531" s="11"/>
      <c r="AN531" s="11"/>
      <c r="AO531" s="11"/>
      <c r="AP531" s="11"/>
      <c r="AQ531" s="11">
        <v>150</v>
      </c>
      <c r="AR531" s="11">
        <v>50</v>
      </c>
      <c r="AS531" s="11">
        <v>6</v>
      </c>
      <c r="AT531" s="11"/>
      <c r="AU531" s="11"/>
      <c r="AV531" s="11"/>
      <c r="AW531" s="20" t="str">
        <f>HYPERLINK("http://www.openstreetmap.org/?mlat=34.5967&amp;mlon=43.6736&amp;zoom=12#map=12/34.5967/43.6736","Maplink1")</f>
        <v>Maplink1</v>
      </c>
      <c r="AX531" s="20" t="str">
        <f>HYPERLINK("https://www.google.iq/maps/search/+34.5967,43.6736/@34.5967,43.6736,14z?hl=en","Maplink2")</f>
        <v>Maplink2</v>
      </c>
      <c r="AY531" s="20" t="str">
        <f>HYPERLINK("http://www.bing.com/maps/?lvl=14&amp;sty=h&amp;cp=34.5967~43.6736&amp;sp=point.34.5967_43.6736","Maplink3")</f>
        <v>Maplink3</v>
      </c>
    </row>
    <row r="532" spans="1:51" s="19" customFormat="1" x14ac:dyDescent="0.25">
      <c r="A532" s="9">
        <v>20622</v>
      </c>
      <c r="B532" s="10" t="s">
        <v>22</v>
      </c>
      <c r="C532" s="10" t="s">
        <v>661</v>
      </c>
      <c r="D532" s="10" t="s">
        <v>1225</v>
      </c>
      <c r="E532" s="10" t="s">
        <v>706</v>
      </c>
      <c r="F532" s="10">
        <v>34.70311367</v>
      </c>
      <c r="G532" s="10">
        <v>43.612091700000001</v>
      </c>
      <c r="H532" s="10" t="s">
        <v>612</v>
      </c>
      <c r="I532" s="10" t="s">
        <v>663</v>
      </c>
      <c r="J532" s="10" t="s">
        <v>707</v>
      </c>
      <c r="K532" s="11">
        <v>178</v>
      </c>
      <c r="L532" s="11">
        <v>1068</v>
      </c>
      <c r="M532" s="11"/>
      <c r="N532" s="11"/>
      <c r="O532" s="11">
        <v>36</v>
      </c>
      <c r="P532" s="11"/>
      <c r="Q532" s="11">
        <v>5</v>
      </c>
      <c r="R532" s="11"/>
      <c r="S532" s="11"/>
      <c r="T532" s="11"/>
      <c r="U532" s="11">
        <v>97</v>
      </c>
      <c r="V532" s="11"/>
      <c r="W532" s="11"/>
      <c r="X532" s="11"/>
      <c r="Y532" s="11"/>
      <c r="Z532" s="11"/>
      <c r="AA532" s="11">
        <v>30</v>
      </c>
      <c r="AB532" s="11">
        <v>10</v>
      </c>
      <c r="AC532" s="11"/>
      <c r="AD532" s="11"/>
      <c r="AE532" s="11"/>
      <c r="AF532" s="11">
        <v>123</v>
      </c>
      <c r="AG532" s="11"/>
      <c r="AH532" s="11"/>
      <c r="AI532" s="11">
        <v>55</v>
      </c>
      <c r="AJ532" s="11"/>
      <c r="AK532" s="11"/>
      <c r="AL532" s="11"/>
      <c r="AM532" s="11"/>
      <c r="AN532" s="11"/>
      <c r="AO532" s="11"/>
      <c r="AP532" s="11"/>
      <c r="AQ532" s="11">
        <v>178</v>
      </c>
      <c r="AR532" s="11"/>
      <c r="AS532" s="11"/>
      <c r="AT532" s="11"/>
      <c r="AU532" s="11"/>
      <c r="AV532" s="11"/>
      <c r="AW532" s="20" t="str">
        <f>HYPERLINK("http://www.openstreetmap.org/?mlat=34.7031&amp;mlon=43.6121&amp;zoom=12#map=12/34.7031/43.6121","Maplink1")</f>
        <v>Maplink1</v>
      </c>
      <c r="AX532" s="20" t="str">
        <f>HYPERLINK("https://www.google.iq/maps/search/+34.7031,43.6121/@34.7031,43.6121,14z?hl=en","Maplink2")</f>
        <v>Maplink2</v>
      </c>
      <c r="AY532" s="20" t="str">
        <f>HYPERLINK("http://www.bing.com/maps/?lvl=14&amp;sty=h&amp;cp=34.7031~43.6121&amp;sp=point.34.7031_43.6121","Maplink3")</f>
        <v>Maplink3</v>
      </c>
    </row>
    <row r="533" spans="1:51" s="19" customFormat="1" x14ac:dyDescent="0.25">
      <c r="A533" s="9">
        <v>28413</v>
      </c>
      <c r="B533" s="10" t="s">
        <v>22</v>
      </c>
      <c r="C533" s="10" t="s">
        <v>661</v>
      </c>
      <c r="D533" s="10" t="s">
        <v>708</v>
      </c>
      <c r="E533" s="10" t="s">
        <v>81</v>
      </c>
      <c r="F533" s="10">
        <v>34.602280630000003</v>
      </c>
      <c r="G533" s="10">
        <v>43.669973949999999</v>
      </c>
      <c r="H533" s="10" t="s">
        <v>612</v>
      </c>
      <c r="I533" s="10"/>
      <c r="J533" s="10"/>
      <c r="K533" s="11">
        <v>79</v>
      </c>
      <c r="L533" s="11">
        <v>474</v>
      </c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>
        <v>79</v>
      </c>
      <c r="AB533" s="11"/>
      <c r="AC533" s="11"/>
      <c r="AD533" s="11"/>
      <c r="AE533" s="11"/>
      <c r="AF533" s="11">
        <v>65</v>
      </c>
      <c r="AG533" s="11"/>
      <c r="AH533" s="11"/>
      <c r="AI533" s="11"/>
      <c r="AJ533" s="11"/>
      <c r="AK533" s="11"/>
      <c r="AL533" s="11">
        <v>14</v>
      </c>
      <c r="AM533" s="11"/>
      <c r="AN533" s="11"/>
      <c r="AO533" s="11"/>
      <c r="AP533" s="11"/>
      <c r="AQ533" s="11">
        <v>50</v>
      </c>
      <c r="AR533" s="11">
        <v>20</v>
      </c>
      <c r="AS533" s="11">
        <v>9</v>
      </c>
      <c r="AT533" s="11"/>
      <c r="AU533" s="11"/>
      <c r="AV533" s="11"/>
      <c r="AW533" s="20" t="str">
        <f>HYPERLINK("http://www.openstreetmap.org/?mlat=34.6023&amp;mlon=43.67&amp;zoom=12#map=12/34.6023/43.67","Maplink1")</f>
        <v>Maplink1</v>
      </c>
      <c r="AX533" s="20" t="str">
        <f>HYPERLINK("https://www.google.iq/maps/search/+34.6023,43.67/@34.6023,43.67,14z?hl=en","Maplink2")</f>
        <v>Maplink2</v>
      </c>
      <c r="AY533" s="20" t="str">
        <f>HYPERLINK("http://www.bing.com/maps/?lvl=14&amp;sty=h&amp;cp=34.6023~43.67&amp;sp=point.34.6023_43.67","Maplink3")</f>
        <v>Maplink3</v>
      </c>
    </row>
    <row r="534" spans="1:51" s="19" customFormat="1" x14ac:dyDescent="0.25">
      <c r="A534" s="9">
        <v>22058</v>
      </c>
      <c r="B534" s="10" t="s">
        <v>22</v>
      </c>
      <c r="C534" s="10" t="s">
        <v>661</v>
      </c>
      <c r="D534" s="10" t="s">
        <v>1226</v>
      </c>
      <c r="E534" s="10" t="s">
        <v>1227</v>
      </c>
      <c r="F534" s="10">
        <v>34.600582269999997</v>
      </c>
      <c r="G534" s="10">
        <v>43.653466680000001</v>
      </c>
      <c r="H534" s="10" t="s">
        <v>612</v>
      </c>
      <c r="I534" s="10" t="s">
        <v>663</v>
      </c>
      <c r="J534" s="10" t="s">
        <v>710</v>
      </c>
      <c r="K534" s="11">
        <v>610</v>
      </c>
      <c r="L534" s="11">
        <v>3660</v>
      </c>
      <c r="M534" s="11"/>
      <c r="N534" s="11"/>
      <c r="O534" s="11">
        <v>25</v>
      </c>
      <c r="P534" s="11"/>
      <c r="Q534" s="11"/>
      <c r="R534" s="11"/>
      <c r="S534" s="11">
        <v>122</v>
      </c>
      <c r="T534" s="11"/>
      <c r="U534" s="11">
        <v>365</v>
      </c>
      <c r="V534" s="11"/>
      <c r="W534" s="11"/>
      <c r="X534" s="11"/>
      <c r="Y534" s="11"/>
      <c r="Z534" s="11"/>
      <c r="AA534" s="11">
        <v>67</v>
      </c>
      <c r="AB534" s="11">
        <v>31</v>
      </c>
      <c r="AC534" s="11"/>
      <c r="AD534" s="11"/>
      <c r="AE534" s="11"/>
      <c r="AF534" s="11">
        <v>610</v>
      </c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>
        <v>583</v>
      </c>
      <c r="AR534" s="11">
        <v>24</v>
      </c>
      <c r="AS534" s="11">
        <v>3</v>
      </c>
      <c r="AT534" s="11"/>
      <c r="AU534" s="11"/>
      <c r="AV534" s="11"/>
      <c r="AW534" s="20" t="str">
        <f>HYPERLINK("http://www.openstreetmap.org/?mlat=34.6006&amp;mlon=43.6535&amp;zoom=12#map=12/34.6006/43.6535","Maplink1")</f>
        <v>Maplink1</v>
      </c>
      <c r="AX534" s="20" t="str">
        <f>HYPERLINK("https://www.google.iq/maps/search/+34.6006,43.6535/@34.6006,43.6535,14z?hl=en","Maplink2")</f>
        <v>Maplink2</v>
      </c>
      <c r="AY534" s="20" t="str">
        <f>HYPERLINK("http://www.bing.com/maps/?lvl=14&amp;sty=h&amp;cp=34.6006~43.6535&amp;sp=point.34.6006_43.6535","Maplink3")</f>
        <v>Maplink3</v>
      </c>
    </row>
    <row r="535" spans="1:51" s="19" customFormat="1" x14ac:dyDescent="0.25">
      <c r="A535" s="9">
        <v>27369</v>
      </c>
      <c r="B535" s="10" t="s">
        <v>22</v>
      </c>
      <c r="C535" s="10" t="s">
        <v>661</v>
      </c>
      <c r="D535" s="10" t="s">
        <v>711</v>
      </c>
      <c r="E535" s="10" t="s">
        <v>1284</v>
      </c>
      <c r="F535" s="10">
        <v>34.589801450000003</v>
      </c>
      <c r="G535" s="10">
        <v>43.664852119999999</v>
      </c>
      <c r="H535" s="10" t="s">
        <v>612</v>
      </c>
      <c r="I535" s="10" t="s">
        <v>663</v>
      </c>
      <c r="J535" s="10"/>
      <c r="K535" s="11">
        <v>713</v>
      </c>
      <c r="L535" s="11">
        <v>4278</v>
      </c>
      <c r="M535" s="11"/>
      <c r="N535" s="11"/>
      <c r="O535" s="11">
        <v>10</v>
      </c>
      <c r="P535" s="11"/>
      <c r="Q535" s="11"/>
      <c r="R535" s="11"/>
      <c r="S535" s="11">
        <v>72</v>
      </c>
      <c r="T535" s="11"/>
      <c r="U535" s="11">
        <v>490</v>
      </c>
      <c r="V535" s="11"/>
      <c r="W535" s="11"/>
      <c r="X535" s="11"/>
      <c r="Y535" s="11"/>
      <c r="Z535" s="11"/>
      <c r="AA535" s="11">
        <v>116</v>
      </c>
      <c r="AB535" s="11">
        <v>25</v>
      </c>
      <c r="AC535" s="11"/>
      <c r="AD535" s="11"/>
      <c r="AE535" s="11"/>
      <c r="AF535" s="11">
        <v>413</v>
      </c>
      <c r="AG535" s="11"/>
      <c r="AH535" s="11"/>
      <c r="AI535" s="11">
        <v>300</v>
      </c>
      <c r="AJ535" s="11"/>
      <c r="AK535" s="11"/>
      <c r="AL535" s="11"/>
      <c r="AM535" s="11"/>
      <c r="AN535" s="11"/>
      <c r="AO535" s="11"/>
      <c r="AP535" s="11"/>
      <c r="AQ535" s="11">
        <v>583</v>
      </c>
      <c r="AR535" s="11">
        <v>117</v>
      </c>
      <c r="AS535" s="11"/>
      <c r="AT535" s="11"/>
      <c r="AU535" s="11">
        <v>13</v>
      </c>
      <c r="AV535" s="11"/>
      <c r="AW535" s="20" t="str">
        <f>HYPERLINK("http://www.openstreetmap.org/?mlat=34.5898&amp;mlon=43.6649&amp;zoom=12#map=12/34.5898/43.6649","Maplink1")</f>
        <v>Maplink1</v>
      </c>
      <c r="AX535" s="20" t="str">
        <f>HYPERLINK("https://www.google.iq/maps/search/+34.5898,43.6649/@34.5898,43.6649,14z?hl=en","Maplink2")</f>
        <v>Maplink2</v>
      </c>
      <c r="AY535" s="20" t="str">
        <f>HYPERLINK("http://www.bing.com/maps/?lvl=14&amp;sty=h&amp;cp=34.5898~43.6649&amp;sp=point.34.5898_43.6649","Maplink3")</f>
        <v>Maplink3</v>
      </c>
    </row>
    <row r="536" spans="1:51" s="19" customFormat="1" x14ac:dyDescent="0.25">
      <c r="A536" s="9">
        <v>27368</v>
      </c>
      <c r="B536" s="10" t="s">
        <v>22</v>
      </c>
      <c r="C536" s="10" t="s">
        <v>661</v>
      </c>
      <c r="D536" s="10" t="s">
        <v>712</v>
      </c>
      <c r="E536" s="10" t="s">
        <v>713</v>
      </c>
      <c r="F536" s="10">
        <v>34.604627440000002</v>
      </c>
      <c r="G536" s="10">
        <v>43.661955089999999</v>
      </c>
      <c r="H536" s="10" t="s">
        <v>612</v>
      </c>
      <c r="I536" s="10" t="s">
        <v>663</v>
      </c>
      <c r="J536" s="10"/>
      <c r="K536" s="11">
        <v>90</v>
      </c>
      <c r="L536" s="11">
        <v>540</v>
      </c>
      <c r="M536" s="11"/>
      <c r="N536" s="11"/>
      <c r="O536" s="11"/>
      <c r="P536" s="11"/>
      <c r="Q536" s="11"/>
      <c r="R536" s="11"/>
      <c r="S536" s="11">
        <v>22</v>
      </c>
      <c r="T536" s="11"/>
      <c r="U536" s="11">
        <v>28</v>
      </c>
      <c r="V536" s="11"/>
      <c r="W536" s="11"/>
      <c r="X536" s="11"/>
      <c r="Y536" s="11"/>
      <c r="Z536" s="11"/>
      <c r="AA536" s="11">
        <v>40</v>
      </c>
      <c r="AB536" s="11"/>
      <c r="AC536" s="11"/>
      <c r="AD536" s="11"/>
      <c r="AE536" s="11"/>
      <c r="AF536" s="11">
        <v>86</v>
      </c>
      <c r="AG536" s="11"/>
      <c r="AH536" s="11"/>
      <c r="AI536" s="11"/>
      <c r="AJ536" s="11"/>
      <c r="AK536" s="11"/>
      <c r="AL536" s="11">
        <v>4</v>
      </c>
      <c r="AM536" s="11"/>
      <c r="AN536" s="11"/>
      <c r="AO536" s="11"/>
      <c r="AP536" s="11"/>
      <c r="AQ536" s="11">
        <v>70</v>
      </c>
      <c r="AR536" s="11">
        <v>20</v>
      </c>
      <c r="AS536" s="11"/>
      <c r="AT536" s="11"/>
      <c r="AU536" s="11"/>
      <c r="AV536" s="11"/>
      <c r="AW536" s="20" t="str">
        <f>HYPERLINK("http://www.openstreetmap.org/?mlat=34.6046&amp;mlon=43.662&amp;zoom=12#map=12/34.6046/43.662","Maplink1")</f>
        <v>Maplink1</v>
      </c>
      <c r="AX536" s="20" t="str">
        <f>HYPERLINK("https://www.google.iq/maps/search/+34.6046,43.662/@34.6046,43.662,14z?hl=en","Maplink2")</f>
        <v>Maplink2</v>
      </c>
      <c r="AY536" s="20" t="str">
        <f>HYPERLINK("http://www.bing.com/maps/?lvl=14&amp;sty=h&amp;cp=34.6046~43.662&amp;sp=point.34.6046_43.662","Maplink3")</f>
        <v>Maplink3</v>
      </c>
    </row>
    <row r="537" spans="1:51" s="19" customFormat="1" x14ac:dyDescent="0.25">
      <c r="A537" s="9">
        <v>22965</v>
      </c>
      <c r="B537" s="10" t="s">
        <v>22</v>
      </c>
      <c r="C537" s="10" t="s">
        <v>661</v>
      </c>
      <c r="D537" s="10" t="s">
        <v>714</v>
      </c>
      <c r="E537" s="10" t="s">
        <v>1454</v>
      </c>
      <c r="F537" s="10">
        <v>34.604444149999999</v>
      </c>
      <c r="G537" s="10">
        <v>43.685085970000003</v>
      </c>
      <c r="H537" s="10" t="s">
        <v>612</v>
      </c>
      <c r="I537" s="10" t="s">
        <v>663</v>
      </c>
      <c r="J537" s="10" t="s">
        <v>715</v>
      </c>
      <c r="K537" s="11">
        <v>130</v>
      </c>
      <c r="L537" s="11">
        <v>780</v>
      </c>
      <c r="M537" s="11"/>
      <c r="N537" s="11"/>
      <c r="O537" s="11">
        <v>8</v>
      </c>
      <c r="P537" s="11"/>
      <c r="Q537" s="11"/>
      <c r="R537" s="11"/>
      <c r="S537" s="11"/>
      <c r="T537" s="11"/>
      <c r="U537" s="11">
        <v>46</v>
      </c>
      <c r="V537" s="11"/>
      <c r="W537" s="11"/>
      <c r="X537" s="11"/>
      <c r="Y537" s="11"/>
      <c r="Z537" s="11"/>
      <c r="AA537" s="11">
        <v>76</v>
      </c>
      <c r="AB537" s="11"/>
      <c r="AC537" s="11"/>
      <c r="AD537" s="11"/>
      <c r="AE537" s="11"/>
      <c r="AF537" s="11">
        <v>96</v>
      </c>
      <c r="AG537" s="11"/>
      <c r="AH537" s="11"/>
      <c r="AI537" s="11"/>
      <c r="AJ537" s="11"/>
      <c r="AK537" s="11"/>
      <c r="AL537" s="11">
        <v>34</v>
      </c>
      <c r="AM537" s="11"/>
      <c r="AN537" s="11"/>
      <c r="AO537" s="11"/>
      <c r="AP537" s="11"/>
      <c r="AQ537" s="11">
        <v>30</v>
      </c>
      <c r="AR537" s="11">
        <v>40</v>
      </c>
      <c r="AS537" s="11">
        <v>60</v>
      </c>
      <c r="AT537" s="11"/>
      <c r="AU537" s="11"/>
      <c r="AV537" s="11"/>
      <c r="AW537" s="20" t="str">
        <f>HYPERLINK("http://www.openstreetmap.org/?mlat=34.6044&amp;mlon=43.6851&amp;zoom=12#map=12/34.6044/43.6851","Maplink1")</f>
        <v>Maplink1</v>
      </c>
      <c r="AX537" s="20" t="str">
        <f>HYPERLINK("https://www.google.iq/maps/search/+34.6044,43.6851/@34.6044,43.6851,14z?hl=en","Maplink2")</f>
        <v>Maplink2</v>
      </c>
      <c r="AY537" s="20" t="str">
        <f>HYPERLINK("http://www.bing.com/maps/?lvl=14&amp;sty=h&amp;cp=34.6044~43.6851&amp;sp=point.34.6044_43.6851","Maplink3")</f>
        <v>Maplink3</v>
      </c>
    </row>
    <row r="538" spans="1:51" s="19" customFormat="1" x14ac:dyDescent="0.25">
      <c r="A538" s="9">
        <v>20663</v>
      </c>
      <c r="B538" s="10" t="s">
        <v>22</v>
      </c>
      <c r="C538" s="10" t="s">
        <v>661</v>
      </c>
      <c r="D538" s="10" t="s">
        <v>1228</v>
      </c>
      <c r="E538" s="10" t="s">
        <v>716</v>
      </c>
      <c r="F538" s="10">
        <v>34.581973419999997</v>
      </c>
      <c r="G538" s="10">
        <v>43.678329920000003</v>
      </c>
      <c r="H538" s="10" t="s">
        <v>612</v>
      </c>
      <c r="I538" s="10" t="s">
        <v>663</v>
      </c>
      <c r="J538" s="10" t="s">
        <v>717</v>
      </c>
      <c r="K538" s="11">
        <v>275</v>
      </c>
      <c r="L538" s="11">
        <v>1650</v>
      </c>
      <c r="M538" s="11"/>
      <c r="N538" s="11"/>
      <c r="O538" s="11">
        <v>7</v>
      </c>
      <c r="P538" s="11"/>
      <c r="Q538" s="11"/>
      <c r="R538" s="11"/>
      <c r="S538" s="11">
        <v>57</v>
      </c>
      <c r="T538" s="11"/>
      <c r="U538" s="11">
        <v>183</v>
      </c>
      <c r="V538" s="11"/>
      <c r="W538" s="11"/>
      <c r="X538" s="11"/>
      <c r="Y538" s="11"/>
      <c r="Z538" s="11"/>
      <c r="AA538" s="11">
        <v>14</v>
      </c>
      <c r="AB538" s="11">
        <v>14</v>
      </c>
      <c r="AC538" s="11"/>
      <c r="AD538" s="11"/>
      <c r="AE538" s="11"/>
      <c r="AF538" s="11">
        <v>241</v>
      </c>
      <c r="AG538" s="11"/>
      <c r="AH538" s="11"/>
      <c r="AI538" s="11"/>
      <c r="AJ538" s="11"/>
      <c r="AK538" s="11"/>
      <c r="AL538" s="11">
        <v>34</v>
      </c>
      <c r="AM538" s="11"/>
      <c r="AN538" s="11"/>
      <c r="AO538" s="11"/>
      <c r="AP538" s="11">
        <v>18</v>
      </c>
      <c r="AQ538" s="11">
        <v>202</v>
      </c>
      <c r="AR538" s="11">
        <v>55</v>
      </c>
      <c r="AS538" s="11"/>
      <c r="AT538" s="11"/>
      <c r="AU538" s="11"/>
      <c r="AV538" s="11"/>
      <c r="AW538" s="20" t="str">
        <f>HYPERLINK("http://www.openstreetmap.org/?mlat=34.582&amp;mlon=43.6783&amp;zoom=12#map=12/34.582/43.6783","Maplink1")</f>
        <v>Maplink1</v>
      </c>
      <c r="AX538" s="20" t="str">
        <f>HYPERLINK("https://www.google.iq/maps/search/+34.582,43.6783/@34.582,43.6783,14z?hl=en","Maplink2")</f>
        <v>Maplink2</v>
      </c>
      <c r="AY538" s="20" t="str">
        <f>HYPERLINK("http://www.bing.com/maps/?lvl=14&amp;sty=h&amp;cp=34.582~43.6783&amp;sp=point.34.582_43.6783","Maplink3")</f>
        <v>Maplink3</v>
      </c>
    </row>
    <row r="539" spans="1:51" s="19" customFormat="1" x14ac:dyDescent="0.25">
      <c r="A539" s="9">
        <v>27367</v>
      </c>
      <c r="B539" s="10" t="s">
        <v>22</v>
      </c>
      <c r="C539" s="10" t="s">
        <v>661</v>
      </c>
      <c r="D539" s="10" t="s">
        <v>718</v>
      </c>
      <c r="E539" s="10" t="s">
        <v>719</v>
      </c>
      <c r="F539" s="10">
        <v>34.584929500000001</v>
      </c>
      <c r="G539" s="10">
        <v>43.682541399999998</v>
      </c>
      <c r="H539" s="10" t="s">
        <v>612</v>
      </c>
      <c r="I539" s="10" t="s">
        <v>663</v>
      </c>
      <c r="J539" s="10"/>
      <c r="K539" s="11">
        <v>317</v>
      </c>
      <c r="L539" s="11">
        <v>1902</v>
      </c>
      <c r="M539" s="11"/>
      <c r="N539" s="11"/>
      <c r="O539" s="11">
        <v>33</v>
      </c>
      <c r="P539" s="11"/>
      <c r="Q539" s="11"/>
      <c r="R539" s="11"/>
      <c r="S539" s="11">
        <v>38</v>
      </c>
      <c r="T539" s="11"/>
      <c r="U539" s="11">
        <v>60</v>
      </c>
      <c r="V539" s="11"/>
      <c r="W539" s="11"/>
      <c r="X539" s="11"/>
      <c r="Y539" s="11"/>
      <c r="Z539" s="11"/>
      <c r="AA539" s="11">
        <v>186</v>
      </c>
      <c r="AB539" s="11"/>
      <c r="AC539" s="11"/>
      <c r="AD539" s="11"/>
      <c r="AE539" s="11"/>
      <c r="AF539" s="11">
        <v>300</v>
      </c>
      <c r="AG539" s="11"/>
      <c r="AH539" s="11"/>
      <c r="AI539" s="11"/>
      <c r="AJ539" s="11"/>
      <c r="AK539" s="11"/>
      <c r="AL539" s="11">
        <v>17</v>
      </c>
      <c r="AM539" s="11"/>
      <c r="AN539" s="11"/>
      <c r="AO539" s="11"/>
      <c r="AP539" s="11"/>
      <c r="AQ539" s="11">
        <v>152</v>
      </c>
      <c r="AR539" s="11">
        <v>85</v>
      </c>
      <c r="AS539" s="11">
        <v>80</v>
      </c>
      <c r="AT539" s="11"/>
      <c r="AU539" s="11"/>
      <c r="AV539" s="11"/>
      <c r="AW539" s="20" t="str">
        <f>HYPERLINK("http://www.openstreetmap.org/?mlat=34.5849&amp;mlon=43.6825&amp;zoom=12#map=12/34.5849/43.6825","Maplink1")</f>
        <v>Maplink1</v>
      </c>
      <c r="AX539" s="20" t="str">
        <f>HYPERLINK("https://www.google.iq/maps/search/+34.5849,43.6825/@34.5849,43.6825,14z?hl=en","Maplink2")</f>
        <v>Maplink2</v>
      </c>
      <c r="AY539" s="20" t="str">
        <f>HYPERLINK("http://www.bing.com/maps/?lvl=14&amp;sty=h&amp;cp=34.5849~43.6825&amp;sp=point.34.5849_43.6825","Maplink3")</f>
        <v>Maplink3</v>
      </c>
    </row>
    <row r="540" spans="1:51" s="19" customFormat="1" x14ac:dyDescent="0.25">
      <c r="A540" s="9">
        <v>20624</v>
      </c>
      <c r="B540" s="10" t="s">
        <v>22</v>
      </c>
      <c r="C540" s="10" t="s">
        <v>661</v>
      </c>
      <c r="D540" s="10" t="s">
        <v>1229</v>
      </c>
      <c r="E540" s="10" t="s">
        <v>1230</v>
      </c>
      <c r="F540" s="10">
        <v>34.582677920000002</v>
      </c>
      <c r="G540" s="10">
        <v>43.68829058</v>
      </c>
      <c r="H540" s="10" t="s">
        <v>612</v>
      </c>
      <c r="I540" s="10" t="s">
        <v>663</v>
      </c>
      <c r="J540" s="10" t="s">
        <v>692</v>
      </c>
      <c r="K540" s="11">
        <v>415</v>
      </c>
      <c r="L540" s="11">
        <v>2490</v>
      </c>
      <c r="M540" s="11"/>
      <c r="N540" s="11"/>
      <c r="O540" s="11">
        <v>154</v>
      </c>
      <c r="P540" s="11"/>
      <c r="Q540" s="11"/>
      <c r="R540" s="11"/>
      <c r="S540" s="11">
        <v>103</v>
      </c>
      <c r="T540" s="11"/>
      <c r="U540" s="11">
        <v>94</v>
      </c>
      <c r="V540" s="11"/>
      <c r="W540" s="11"/>
      <c r="X540" s="11"/>
      <c r="Y540" s="11"/>
      <c r="Z540" s="11"/>
      <c r="AA540" s="11">
        <v>39</v>
      </c>
      <c r="AB540" s="11">
        <v>25</v>
      </c>
      <c r="AC540" s="11"/>
      <c r="AD540" s="11"/>
      <c r="AE540" s="11"/>
      <c r="AF540" s="11">
        <v>335</v>
      </c>
      <c r="AG540" s="11"/>
      <c r="AH540" s="11"/>
      <c r="AI540" s="11"/>
      <c r="AJ540" s="11"/>
      <c r="AK540" s="11"/>
      <c r="AL540" s="11">
        <v>80</v>
      </c>
      <c r="AM540" s="11"/>
      <c r="AN540" s="11"/>
      <c r="AO540" s="11"/>
      <c r="AP540" s="11"/>
      <c r="AQ540" s="11">
        <v>389</v>
      </c>
      <c r="AR540" s="11">
        <v>26</v>
      </c>
      <c r="AS540" s="11"/>
      <c r="AT540" s="11"/>
      <c r="AU540" s="11"/>
      <c r="AV540" s="11"/>
      <c r="AW540" s="20" t="str">
        <f>HYPERLINK("http://www.openstreetmap.org/?mlat=34.5827&amp;mlon=43.6883&amp;zoom=12#map=12/34.5827/43.6883","Maplink1")</f>
        <v>Maplink1</v>
      </c>
      <c r="AX540" s="20" t="str">
        <f>HYPERLINK("https://www.google.iq/maps/search/+34.5827,43.6883/@34.5827,43.6883,14z?hl=en","Maplink2")</f>
        <v>Maplink2</v>
      </c>
      <c r="AY540" s="20" t="str">
        <f>HYPERLINK("http://www.bing.com/maps/?lvl=14&amp;sty=h&amp;cp=34.5827~43.6883&amp;sp=point.34.5827_43.6883","Maplink3")</f>
        <v>Maplink3</v>
      </c>
    </row>
    <row r="541" spans="1:51" s="19" customFormat="1" x14ac:dyDescent="0.25">
      <c r="A541" s="9">
        <v>25962</v>
      </c>
      <c r="B541" s="10" t="s">
        <v>22</v>
      </c>
      <c r="C541" s="10" t="s">
        <v>661</v>
      </c>
      <c r="D541" s="10" t="s">
        <v>1231</v>
      </c>
      <c r="E541" s="10" t="s">
        <v>909</v>
      </c>
      <c r="F541" s="10">
        <v>34.612176759999997</v>
      </c>
      <c r="G541" s="10">
        <v>43.680861129999997</v>
      </c>
      <c r="H541" s="10" t="s">
        <v>612</v>
      </c>
      <c r="I541" s="10" t="s">
        <v>663</v>
      </c>
      <c r="J541" s="10"/>
      <c r="K541" s="11">
        <v>697</v>
      </c>
      <c r="L541" s="11">
        <v>4182</v>
      </c>
      <c r="M541" s="11"/>
      <c r="N541" s="11"/>
      <c r="O541" s="11">
        <v>23</v>
      </c>
      <c r="P541" s="11"/>
      <c r="Q541" s="11">
        <v>6</v>
      </c>
      <c r="R541" s="11"/>
      <c r="S541" s="11">
        <v>285</v>
      </c>
      <c r="T541" s="11"/>
      <c r="U541" s="11">
        <v>241</v>
      </c>
      <c r="V541" s="11"/>
      <c r="W541" s="11"/>
      <c r="X541" s="11"/>
      <c r="Y541" s="11"/>
      <c r="Z541" s="11"/>
      <c r="AA541" s="11">
        <v>116</v>
      </c>
      <c r="AB541" s="11">
        <v>26</v>
      </c>
      <c r="AC541" s="11"/>
      <c r="AD541" s="11"/>
      <c r="AE541" s="11"/>
      <c r="AF541" s="11">
        <v>663</v>
      </c>
      <c r="AG541" s="11"/>
      <c r="AH541" s="11"/>
      <c r="AI541" s="11"/>
      <c r="AJ541" s="11"/>
      <c r="AK541" s="11"/>
      <c r="AL541" s="11">
        <v>34</v>
      </c>
      <c r="AM541" s="11"/>
      <c r="AN541" s="11"/>
      <c r="AO541" s="11"/>
      <c r="AP541" s="11"/>
      <c r="AQ541" s="11">
        <v>400</v>
      </c>
      <c r="AR541" s="11">
        <v>100</v>
      </c>
      <c r="AS541" s="11">
        <v>177</v>
      </c>
      <c r="AT541" s="11"/>
      <c r="AU541" s="11">
        <v>18</v>
      </c>
      <c r="AV541" s="11">
        <v>2</v>
      </c>
      <c r="AW541" s="20" t="str">
        <f>HYPERLINK("http://www.openstreetmap.org/?mlat=34.6122&amp;mlon=43.6809&amp;zoom=12#map=12/34.6122/43.6809","Maplink1")</f>
        <v>Maplink1</v>
      </c>
      <c r="AX541" s="20" t="str">
        <f>HYPERLINK("https://www.google.iq/maps/search/+34.6122,43.6809/@34.6122,43.6809,14z?hl=en","Maplink2")</f>
        <v>Maplink2</v>
      </c>
      <c r="AY541" s="20" t="str">
        <f>HYPERLINK("http://www.bing.com/maps/?lvl=14&amp;sty=h&amp;cp=34.6122~43.6809&amp;sp=point.34.6122_43.6809","Maplink3")</f>
        <v>Maplink3</v>
      </c>
    </row>
    <row r="542" spans="1:51" s="19" customFormat="1" x14ac:dyDescent="0.25">
      <c r="A542" s="9">
        <v>22966</v>
      </c>
      <c r="B542" s="10" t="s">
        <v>22</v>
      </c>
      <c r="C542" s="10" t="s">
        <v>661</v>
      </c>
      <c r="D542" s="10" t="s">
        <v>1232</v>
      </c>
      <c r="E542" s="10" t="s">
        <v>1285</v>
      </c>
      <c r="F542" s="10">
        <v>34.588332110000003</v>
      </c>
      <c r="G542" s="10">
        <v>43.681835020000001</v>
      </c>
      <c r="H542" s="10" t="s">
        <v>612</v>
      </c>
      <c r="I542" s="10" t="s">
        <v>663</v>
      </c>
      <c r="J542" s="10" t="s">
        <v>720</v>
      </c>
      <c r="K542" s="11">
        <v>140</v>
      </c>
      <c r="L542" s="11">
        <v>840</v>
      </c>
      <c r="M542" s="11"/>
      <c r="N542" s="11"/>
      <c r="O542" s="11"/>
      <c r="P542" s="11"/>
      <c r="Q542" s="11"/>
      <c r="R542" s="11"/>
      <c r="S542" s="11"/>
      <c r="T542" s="11"/>
      <c r="U542" s="11">
        <v>2</v>
      </c>
      <c r="V542" s="11"/>
      <c r="W542" s="11"/>
      <c r="X542" s="11"/>
      <c r="Y542" s="11"/>
      <c r="Z542" s="11"/>
      <c r="AA542" s="11">
        <v>138</v>
      </c>
      <c r="AB542" s="11"/>
      <c r="AC542" s="11"/>
      <c r="AD542" s="11"/>
      <c r="AE542" s="11"/>
      <c r="AF542" s="11">
        <v>140</v>
      </c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>
        <v>61</v>
      </c>
      <c r="AR542" s="11">
        <v>50</v>
      </c>
      <c r="AS542" s="11">
        <v>29</v>
      </c>
      <c r="AT542" s="11"/>
      <c r="AU542" s="11"/>
      <c r="AV542" s="11"/>
      <c r="AW542" s="20" t="str">
        <f>HYPERLINK("http://www.openstreetmap.org/?mlat=34.5883&amp;mlon=43.6818&amp;zoom=12#map=12/34.5883/43.6818","Maplink1")</f>
        <v>Maplink1</v>
      </c>
      <c r="AX542" s="20" t="str">
        <f>HYPERLINK("https://www.google.iq/maps/search/+34.5883,43.6818/@34.5883,43.6818,14z?hl=en","Maplink2")</f>
        <v>Maplink2</v>
      </c>
      <c r="AY542" s="20" t="str">
        <f>HYPERLINK("http://www.bing.com/maps/?lvl=14&amp;sty=h&amp;cp=34.5883~43.6818&amp;sp=point.34.5883_43.6818","Maplink3")</f>
        <v>Maplink3</v>
      </c>
    </row>
    <row r="543" spans="1:51" s="19" customFormat="1" x14ac:dyDescent="0.25">
      <c r="A543" s="9">
        <v>28449</v>
      </c>
      <c r="B543" s="10" t="s">
        <v>22</v>
      </c>
      <c r="C543" s="10" t="s">
        <v>661</v>
      </c>
      <c r="D543" s="10" t="s">
        <v>814</v>
      </c>
      <c r="E543" s="10" t="s">
        <v>1455</v>
      </c>
      <c r="F543" s="10">
        <v>34.699296169999997</v>
      </c>
      <c r="G543" s="10">
        <v>43.709547559999997</v>
      </c>
      <c r="H543" s="10" t="s">
        <v>612</v>
      </c>
      <c r="I543" s="10" t="s">
        <v>663</v>
      </c>
      <c r="J543" s="10"/>
      <c r="K543" s="11">
        <v>575</v>
      </c>
      <c r="L543" s="11">
        <v>3450</v>
      </c>
      <c r="M543" s="11"/>
      <c r="N543" s="11"/>
      <c r="O543" s="11"/>
      <c r="P543" s="11"/>
      <c r="Q543" s="11"/>
      <c r="R543" s="11"/>
      <c r="S543" s="11"/>
      <c r="T543" s="11"/>
      <c r="U543" s="11">
        <v>575</v>
      </c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>
        <v>500</v>
      </c>
      <c r="AG543" s="11">
        <v>25</v>
      </c>
      <c r="AH543" s="11"/>
      <c r="AI543" s="11"/>
      <c r="AJ543" s="11"/>
      <c r="AK543" s="11"/>
      <c r="AL543" s="11">
        <v>50</v>
      </c>
      <c r="AM543" s="11"/>
      <c r="AN543" s="11"/>
      <c r="AO543" s="11"/>
      <c r="AP543" s="11"/>
      <c r="AQ543" s="11">
        <v>275</v>
      </c>
      <c r="AR543" s="11">
        <v>300</v>
      </c>
      <c r="AS543" s="11"/>
      <c r="AT543" s="11"/>
      <c r="AU543" s="11"/>
      <c r="AV543" s="11"/>
      <c r="AW543" s="20" t="str">
        <f>HYPERLINK("http://www.openstreetmap.org/?mlat=34.6993&amp;mlon=43.7095&amp;zoom=12#map=12/34.6993/43.7095","Maplink1")</f>
        <v>Maplink1</v>
      </c>
      <c r="AX543" s="20" t="str">
        <f>HYPERLINK("https://www.google.iq/maps/search/+34.6993,43.7095/@34.6993,43.7095,14z?hl=en","Maplink2")</f>
        <v>Maplink2</v>
      </c>
      <c r="AY543" s="20" t="str">
        <f>HYPERLINK("http://www.bing.com/maps/?lvl=14&amp;sty=h&amp;cp=34.6993~43.7095&amp;sp=point.34.6993_43.7095","Maplink3")</f>
        <v>Maplink3</v>
      </c>
    </row>
    <row r="544" spans="1:51" s="19" customFormat="1" x14ac:dyDescent="0.25">
      <c r="A544" s="9">
        <v>22470</v>
      </c>
      <c r="B544" s="10" t="s">
        <v>22</v>
      </c>
      <c r="C544" s="10" t="s">
        <v>661</v>
      </c>
      <c r="D544" s="10" t="s">
        <v>721</v>
      </c>
      <c r="E544" s="10" t="s">
        <v>1456</v>
      </c>
      <c r="F544" s="10">
        <v>34.868250000000003</v>
      </c>
      <c r="G544" s="10">
        <v>43.712161100000003</v>
      </c>
      <c r="H544" s="10" t="s">
        <v>612</v>
      </c>
      <c r="I544" s="10" t="s">
        <v>663</v>
      </c>
      <c r="J544" s="10" t="s">
        <v>722</v>
      </c>
      <c r="K544" s="11">
        <v>687</v>
      </c>
      <c r="L544" s="11">
        <v>4122</v>
      </c>
      <c r="M544" s="11"/>
      <c r="N544" s="11"/>
      <c r="O544" s="11">
        <v>250</v>
      </c>
      <c r="P544" s="11"/>
      <c r="Q544" s="11"/>
      <c r="R544" s="11"/>
      <c r="S544" s="11"/>
      <c r="T544" s="11"/>
      <c r="U544" s="11">
        <v>200</v>
      </c>
      <c r="V544" s="11"/>
      <c r="W544" s="11"/>
      <c r="X544" s="11"/>
      <c r="Y544" s="11"/>
      <c r="Z544" s="11"/>
      <c r="AA544" s="11">
        <v>237</v>
      </c>
      <c r="AB544" s="11"/>
      <c r="AC544" s="11"/>
      <c r="AD544" s="11"/>
      <c r="AE544" s="11"/>
      <c r="AF544" s="11">
        <v>425</v>
      </c>
      <c r="AG544" s="11">
        <v>12</v>
      </c>
      <c r="AH544" s="11"/>
      <c r="AI544" s="11"/>
      <c r="AJ544" s="11"/>
      <c r="AK544" s="11"/>
      <c r="AL544" s="11">
        <v>250</v>
      </c>
      <c r="AM544" s="11"/>
      <c r="AN544" s="11"/>
      <c r="AO544" s="11"/>
      <c r="AP544" s="11"/>
      <c r="AQ544" s="11">
        <v>460</v>
      </c>
      <c r="AR544" s="11">
        <v>227</v>
      </c>
      <c r="AS544" s="11"/>
      <c r="AT544" s="11"/>
      <c r="AU544" s="11"/>
      <c r="AV544" s="11"/>
      <c r="AW544" s="20" t="str">
        <f>HYPERLINK("http://www.openstreetmap.org/?mlat=34.8683&amp;mlon=43.7122&amp;zoom=12#map=12/34.8683/43.7122","Maplink1")</f>
        <v>Maplink1</v>
      </c>
      <c r="AX544" s="20" t="str">
        <f>HYPERLINK("https://www.google.iq/maps/search/+34.8683,43.7122/@34.8683,43.7122,14z?hl=en","Maplink2")</f>
        <v>Maplink2</v>
      </c>
      <c r="AY544" s="20" t="str">
        <f>HYPERLINK("http://www.bing.com/maps/?lvl=14&amp;sty=h&amp;cp=34.8683~43.7122&amp;sp=point.34.8683_43.7122","Maplink3")</f>
        <v>Maplink3</v>
      </c>
    </row>
    <row r="545" spans="1:51" s="19" customFormat="1" x14ac:dyDescent="0.25">
      <c r="A545" s="9">
        <v>22059</v>
      </c>
      <c r="B545" s="10" t="s">
        <v>22</v>
      </c>
      <c r="C545" s="10" t="s">
        <v>661</v>
      </c>
      <c r="D545" s="10" t="s">
        <v>723</v>
      </c>
      <c r="E545" s="10" t="s">
        <v>1233</v>
      </c>
      <c r="F545" s="10">
        <v>34.791057000000002</v>
      </c>
      <c r="G545" s="10">
        <v>43.619826750000001</v>
      </c>
      <c r="H545" s="10" t="s">
        <v>612</v>
      </c>
      <c r="I545" s="10" t="s">
        <v>663</v>
      </c>
      <c r="J545" s="10" t="s">
        <v>724</v>
      </c>
      <c r="K545" s="11">
        <v>410</v>
      </c>
      <c r="L545" s="11">
        <v>2460</v>
      </c>
      <c r="M545" s="11"/>
      <c r="N545" s="11"/>
      <c r="O545" s="11"/>
      <c r="P545" s="11"/>
      <c r="Q545" s="11"/>
      <c r="R545" s="11"/>
      <c r="S545" s="11"/>
      <c r="T545" s="11"/>
      <c r="U545" s="11">
        <v>410</v>
      </c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>
        <v>410</v>
      </c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>
        <v>410</v>
      </c>
      <c r="AT545" s="11"/>
      <c r="AU545" s="11"/>
      <c r="AV545" s="11"/>
      <c r="AW545" s="20" t="str">
        <f>HYPERLINK("http://www.openstreetmap.org/?mlat=34.7911&amp;mlon=43.6198&amp;zoom=12#map=12/34.7911/43.6198","Maplink1")</f>
        <v>Maplink1</v>
      </c>
      <c r="AX545" s="20" t="str">
        <f>HYPERLINK("https://www.google.iq/maps/search/+34.7911,43.6198/@34.7911,43.6198,14z?hl=en","Maplink2")</f>
        <v>Maplink2</v>
      </c>
      <c r="AY545" s="20" t="str">
        <f>HYPERLINK("http://www.bing.com/maps/?lvl=14&amp;sty=h&amp;cp=34.7911~43.6198&amp;sp=point.34.7911_43.6198","Maplink3")</f>
        <v>Maplink3</v>
      </c>
    </row>
    <row r="546" spans="1:51" s="19" customFormat="1" x14ac:dyDescent="0.25">
      <c r="A546" s="9">
        <v>25922</v>
      </c>
      <c r="B546" s="10" t="s">
        <v>22</v>
      </c>
      <c r="C546" s="10" t="s">
        <v>661</v>
      </c>
      <c r="D546" s="10" t="s">
        <v>1286</v>
      </c>
      <c r="E546" s="10" t="s">
        <v>1457</v>
      </c>
      <c r="F546" s="10">
        <v>34.634419569999999</v>
      </c>
      <c r="G546" s="10">
        <v>43.666980680000002</v>
      </c>
      <c r="H546" s="10" t="s">
        <v>612</v>
      </c>
      <c r="I546" s="10" t="s">
        <v>663</v>
      </c>
      <c r="J546" s="10"/>
      <c r="K546" s="11">
        <v>2093</v>
      </c>
      <c r="L546" s="11">
        <v>12558</v>
      </c>
      <c r="M546" s="11"/>
      <c r="N546" s="11"/>
      <c r="O546" s="11">
        <v>44</v>
      </c>
      <c r="P546" s="11"/>
      <c r="Q546" s="11">
        <v>22</v>
      </c>
      <c r="R546" s="11"/>
      <c r="S546" s="11">
        <v>800</v>
      </c>
      <c r="T546" s="11"/>
      <c r="U546" s="11">
        <v>1043</v>
      </c>
      <c r="V546" s="11"/>
      <c r="W546" s="11"/>
      <c r="X546" s="11"/>
      <c r="Y546" s="11"/>
      <c r="Z546" s="11"/>
      <c r="AA546" s="11">
        <v>67</v>
      </c>
      <c r="AB546" s="11">
        <v>117</v>
      </c>
      <c r="AC546" s="11"/>
      <c r="AD546" s="11"/>
      <c r="AE546" s="11"/>
      <c r="AF546" s="11">
        <v>1846</v>
      </c>
      <c r="AG546" s="11"/>
      <c r="AH546" s="11"/>
      <c r="AI546" s="11"/>
      <c r="AJ546" s="11"/>
      <c r="AK546" s="11"/>
      <c r="AL546" s="11">
        <v>247</v>
      </c>
      <c r="AM546" s="11"/>
      <c r="AN546" s="11"/>
      <c r="AO546" s="11"/>
      <c r="AP546" s="11"/>
      <c r="AQ546" s="11">
        <v>1015</v>
      </c>
      <c r="AR546" s="11">
        <v>600</v>
      </c>
      <c r="AS546" s="11">
        <v>478</v>
      </c>
      <c r="AT546" s="11"/>
      <c r="AU546" s="11"/>
      <c r="AV546" s="11"/>
      <c r="AW546" s="20" t="str">
        <f>HYPERLINK("http://www.openstreetmap.org/?mlat=34.6344&amp;mlon=43.667&amp;zoom=12#map=12/34.6344/43.667","Maplink1")</f>
        <v>Maplink1</v>
      </c>
      <c r="AX546" s="20" t="str">
        <f>HYPERLINK("https://www.google.iq/maps/search/+34.6344,43.667/@34.6344,43.667,14z?hl=en","Maplink2")</f>
        <v>Maplink2</v>
      </c>
      <c r="AY546" s="20" t="str">
        <f>HYPERLINK("http://www.bing.com/maps/?lvl=14&amp;sty=h&amp;cp=34.6344~43.667&amp;sp=point.34.6344_43.667","Maplink3")</f>
        <v>Maplink3</v>
      </c>
    </row>
    <row r="547" spans="1:51" s="19" customFormat="1" x14ac:dyDescent="0.25">
      <c r="A547" s="9">
        <v>25923</v>
      </c>
      <c r="B547" s="10" t="s">
        <v>22</v>
      </c>
      <c r="C547" s="10" t="s">
        <v>661</v>
      </c>
      <c r="D547" s="10" t="s">
        <v>1287</v>
      </c>
      <c r="E547" s="10" t="s">
        <v>1458</v>
      </c>
      <c r="F547" s="10">
        <v>34.649230240000001</v>
      </c>
      <c r="G547" s="10">
        <v>43.661194639999998</v>
      </c>
      <c r="H547" s="10" t="s">
        <v>612</v>
      </c>
      <c r="I547" s="10" t="s">
        <v>663</v>
      </c>
      <c r="J547" s="10"/>
      <c r="K547" s="11">
        <v>2237</v>
      </c>
      <c r="L547" s="11">
        <v>13422</v>
      </c>
      <c r="M547" s="11"/>
      <c r="N547" s="11"/>
      <c r="O547" s="11">
        <v>151</v>
      </c>
      <c r="P547" s="11"/>
      <c r="Q547" s="11">
        <v>100</v>
      </c>
      <c r="R547" s="11"/>
      <c r="S547" s="11">
        <v>503</v>
      </c>
      <c r="T547" s="11"/>
      <c r="U547" s="11">
        <v>1005</v>
      </c>
      <c r="V547" s="11"/>
      <c r="W547" s="11"/>
      <c r="X547" s="11"/>
      <c r="Y547" s="11"/>
      <c r="Z547" s="11"/>
      <c r="AA547" s="11">
        <v>178</v>
      </c>
      <c r="AB547" s="11">
        <v>300</v>
      </c>
      <c r="AC547" s="11"/>
      <c r="AD547" s="11"/>
      <c r="AE547" s="11"/>
      <c r="AF547" s="11">
        <v>1917</v>
      </c>
      <c r="AG547" s="11"/>
      <c r="AH547" s="11"/>
      <c r="AI547" s="11"/>
      <c r="AJ547" s="11"/>
      <c r="AK547" s="11"/>
      <c r="AL547" s="11">
        <v>320</v>
      </c>
      <c r="AM547" s="11"/>
      <c r="AN547" s="11"/>
      <c r="AO547" s="11"/>
      <c r="AP547" s="11"/>
      <c r="AQ547" s="11">
        <v>1000</v>
      </c>
      <c r="AR547" s="11">
        <v>600</v>
      </c>
      <c r="AS547" s="11">
        <v>634</v>
      </c>
      <c r="AT547" s="11">
        <v>1</v>
      </c>
      <c r="AU547" s="11">
        <v>2</v>
      </c>
      <c r="AV547" s="11"/>
      <c r="AW547" s="20" t="str">
        <f>HYPERLINK("http://www.openstreetmap.org/?mlat=34.6492&amp;mlon=43.6612&amp;zoom=12#map=12/34.6492/43.6612","Maplink1")</f>
        <v>Maplink1</v>
      </c>
      <c r="AX547" s="20" t="str">
        <f>HYPERLINK("https://www.google.iq/maps/search/+34.6492,43.6612/@34.6492,43.6612,14z?hl=en","Maplink2")</f>
        <v>Maplink2</v>
      </c>
      <c r="AY547" s="20" t="str">
        <f>HYPERLINK("http://www.bing.com/maps/?lvl=14&amp;sty=h&amp;cp=34.6492~43.6612&amp;sp=point.34.6492_43.6612","Maplink3")</f>
        <v>Maplink3</v>
      </c>
    </row>
    <row r="548" spans="1:51" s="19" customFormat="1" x14ac:dyDescent="0.25">
      <c r="A548" s="9">
        <v>22180</v>
      </c>
      <c r="B548" s="10" t="s">
        <v>22</v>
      </c>
      <c r="C548" s="10" t="s">
        <v>661</v>
      </c>
      <c r="D548" s="10" t="s">
        <v>725</v>
      </c>
      <c r="E548" s="10" t="s">
        <v>726</v>
      </c>
      <c r="F548" s="10">
        <v>34.618171779999997</v>
      </c>
      <c r="G548" s="10">
        <v>43.715143380000001</v>
      </c>
      <c r="H548" s="10" t="s">
        <v>612</v>
      </c>
      <c r="I548" s="10" t="s">
        <v>663</v>
      </c>
      <c r="J548" s="10" t="s">
        <v>727</v>
      </c>
      <c r="K548" s="11">
        <v>1481</v>
      </c>
      <c r="L548" s="11">
        <v>8886</v>
      </c>
      <c r="M548" s="11"/>
      <c r="N548" s="11"/>
      <c r="O548" s="11">
        <v>4</v>
      </c>
      <c r="P548" s="11"/>
      <c r="Q548" s="11"/>
      <c r="R548" s="11"/>
      <c r="S548" s="11">
        <v>307</v>
      </c>
      <c r="T548" s="11"/>
      <c r="U548" s="11">
        <v>1152</v>
      </c>
      <c r="V548" s="11"/>
      <c r="W548" s="11"/>
      <c r="X548" s="11"/>
      <c r="Y548" s="11"/>
      <c r="Z548" s="11"/>
      <c r="AA548" s="11">
        <v>10</v>
      </c>
      <c r="AB548" s="11">
        <v>8</v>
      </c>
      <c r="AC548" s="11"/>
      <c r="AD548" s="11"/>
      <c r="AE548" s="11"/>
      <c r="AF548" s="11">
        <v>1481</v>
      </c>
      <c r="AG548" s="11"/>
      <c r="AH548" s="11"/>
      <c r="AI548" s="11"/>
      <c r="AJ548" s="11"/>
      <c r="AK548" s="11"/>
      <c r="AL548" s="11"/>
      <c r="AM548" s="11"/>
      <c r="AN548" s="11"/>
      <c r="AO548" s="11"/>
      <c r="AP548" s="11">
        <v>53</v>
      </c>
      <c r="AQ548" s="11">
        <v>83</v>
      </c>
      <c r="AR548" s="11">
        <v>162</v>
      </c>
      <c r="AS548" s="11">
        <v>1183</v>
      </c>
      <c r="AT548" s="11"/>
      <c r="AU548" s="11"/>
      <c r="AV548" s="11"/>
      <c r="AW548" s="20" t="str">
        <f>HYPERLINK("http://www.openstreetmap.org/?mlat=34.6182&amp;mlon=43.7151&amp;zoom=12#map=12/34.6182/43.7151","Maplink1")</f>
        <v>Maplink1</v>
      </c>
      <c r="AX548" s="20" t="str">
        <f>HYPERLINK("https://www.google.iq/maps/search/+34.6182,43.7151/@34.6182,43.7151,14z?hl=en","Maplink2")</f>
        <v>Maplink2</v>
      </c>
      <c r="AY548" s="20" t="str">
        <f>HYPERLINK("http://www.bing.com/maps/?lvl=14&amp;sty=h&amp;cp=34.6182~43.7151&amp;sp=point.34.6182_43.7151","Maplink3")</f>
        <v>Maplink3</v>
      </c>
    </row>
    <row r="549" spans="1:51" s="19" customFormat="1" x14ac:dyDescent="0.25">
      <c r="A549" s="9">
        <v>20612</v>
      </c>
      <c r="B549" s="10" t="s">
        <v>22</v>
      </c>
      <c r="C549" s="10" t="s">
        <v>661</v>
      </c>
      <c r="D549" s="10" t="s">
        <v>728</v>
      </c>
      <c r="E549" s="10" t="s">
        <v>1234</v>
      </c>
      <c r="F549" s="10">
        <v>34.754232469999998</v>
      </c>
      <c r="G549" s="10">
        <v>43.670013840000003</v>
      </c>
      <c r="H549" s="10" t="s">
        <v>612</v>
      </c>
      <c r="I549" s="10" t="s">
        <v>663</v>
      </c>
      <c r="J549" s="10" t="s">
        <v>729</v>
      </c>
      <c r="K549" s="11">
        <v>110</v>
      </c>
      <c r="L549" s="11">
        <v>660</v>
      </c>
      <c r="M549" s="11"/>
      <c r="N549" s="11"/>
      <c r="O549" s="11"/>
      <c r="P549" s="11"/>
      <c r="Q549" s="11"/>
      <c r="R549" s="11"/>
      <c r="S549" s="11"/>
      <c r="T549" s="11"/>
      <c r="U549" s="11">
        <v>110</v>
      </c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>
        <v>100</v>
      </c>
      <c r="AG549" s="11">
        <v>5</v>
      </c>
      <c r="AH549" s="11"/>
      <c r="AI549" s="11"/>
      <c r="AJ549" s="11"/>
      <c r="AK549" s="11"/>
      <c r="AL549" s="11">
        <v>5</v>
      </c>
      <c r="AM549" s="11"/>
      <c r="AN549" s="11"/>
      <c r="AO549" s="11"/>
      <c r="AP549" s="11"/>
      <c r="AQ549" s="11">
        <v>10</v>
      </c>
      <c r="AR549" s="11"/>
      <c r="AS549" s="11">
        <v>100</v>
      </c>
      <c r="AT549" s="11"/>
      <c r="AU549" s="11"/>
      <c r="AV549" s="11"/>
      <c r="AW549" s="20" t="str">
        <f>HYPERLINK("http://www.openstreetmap.org/?mlat=34.7542&amp;mlon=43.67&amp;zoom=12#map=12/34.7542/43.67","Maplink1")</f>
        <v>Maplink1</v>
      </c>
      <c r="AX549" s="20" t="str">
        <f>HYPERLINK("https://www.google.iq/maps/search/+34.7542,43.67/@34.7542,43.67,14z?hl=en","Maplink2")</f>
        <v>Maplink2</v>
      </c>
      <c r="AY549" s="20" t="str">
        <f>HYPERLINK("http://www.bing.com/maps/?lvl=14&amp;sty=h&amp;cp=34.7542~43.67&amp;sp=point.34.7542_43.67","Maplink3")</f>
        <v>Maplink3</v>
      </c>
    </row>
    <row r="550" spans="1:51" s="19" customFormat="1" x14ac:dyDescent="0.25">
      <c r="A550" s="9">
        <v>25950</v>
      </c>
      <c r="B550" s="10" t="s">
        <v>22</v>
      </c>
      <c r="C550" s="10" t="s">
        <v>661</v>
      </c>
      <c r="D550" s="10" t="s">
        <v>815</v>
      </c>
      <c r="E550" s="10" t="s">
        <v>1235</v>
      </c>
      <c r="F550" s="10">
        <v>34.82091767</v>
      </c>
      <c r="G550" s="10">
        <v>43.578059060000001</v>
      </c>
      <c r="H550" s="10" t="s">
        <v>612</v>
      </c>
      <c r="I550" s="10" t="s">
        <v>663</v>
      </c>
      <c r="J550" s="10"/>
      <c r="K550" s="11">
        <v>530</v>
      </c>
      <c r="L550" s="11">
        <v>3180</v>
      </c>
      <c r="M550" s="11"/>
      <c r="N550" s="11"/>
      <c r="O550" s="11"/>
      <c r="P550" s="11"/>
      <c r="Q550" s="11"/>
      <c r="R550" s="11"/>
      <c r="S550" s="11"/>
      <c r="T550" s="11"/>
      <c r="U550" s="11">
        <v>265</v>
      </c>
      <c r="V550" s="11"/>
      <c r="W550" s="11"/>
      <c r="X550" s="11"/>
      <c r="Y550" s="11"/>
      <c r="Z550" s="11"/>
      <c r="AA550" s="11">
        <v>265</v>
      </c>
      <c r="AB550" s="11"/>
      <c r="AC550" s="11"/>
      <c r="AD550" s="11"/>
      <c r="AE550" s="11"/>
      <c r="AF550" s="11">
        <v>500</v>
      </c>
      <c r="AG550" s="11"/>
      <c r="AH550" s="11"/>
      <c r="AI550" s="11">
        <v>30</v>
      </c>
      <c r="AJ550" s="11"/>
      <c r="AK550" s="11"/>
      <c r="AL550" s="11"/>
      <c r="AM550" s="11"/>
      <c r="AN550" s="11"/>
      <c r="AO550" s="11"/>
      <c r="AP550" s="11"/>
      <c r="AQ550" s="11">
        <v>100</v>
      </c>
      <c r="AR550" s="11">
        <v>200</v>
      </c>
      <c r="AS550" s="11">
        <v>230</v>
      </c>
      <c r="AT550" s="11"/>
      <c r="AU550" s="11"/>
      <c r="AV550" s="11"/>
      <c r="AW550" s="20" t="str">
        <f>HYPERLINK("http://www.openstreetmap.org/?mlat=34.8209&amp;mlon=43.5781&amp;zoom=12#map=12/34.8209/43.5781","Maplink1")</f>
        <v>Maplink1</v>
      </c>
      <c r="AX550" s="20" t="str">
        <f>HYPERLINK("https://www.google.iq/maps/search/+34.8209,43.5781/@34.8209,43.5781,14z?hl=en","Maplink2")</f>
        <v>Maplink2</v>
      </c>
      <c r="AY550" s="20" t="str">
        <f>HYPERLINK("http://www.bing.com/maps/?lvl=14&amp;sty=h&amp;cp=34.8209~43.5781&amp;sp=point.34.8209_43.5781","Maplink3")</f>
        <v>Maplink3</v>
      </c>
    </row>
    <row r="551" spans="1:51" s="19" customFormat="1" x14ac:dyDescent="0.25">
      <c r="A551" s="9">
        <v>20666</v>
      </c>
      <c r="B551" s="10" t="s">
        <v>22</v>
      </c>
      <c r="C551" s="10" t="s">
        <v>661</v>
      </c>
      <c r="D551" s="10" t="s">
        <v>730</v>
      </c>
      <c r="E551" s="10" t="s">
        <v>731</v>
      </c>
      <c r="F551" s="10">
        <v>34.472761230000003</v>
      </c>
      <c r="G551" s="10">
        <v>43.734200289999997</v>
      </c>
      <c r="H551" s="10" t="s">
        <v>612</v>
      </c>
      <c r="I551" s="10" t="s">
        <v>663</v>
      </c>
      <c r="J551" s="10" t="s">
        <v>732</v>
      </c>
      <c r="K551" s="11">
        <v>615</v>
      </c>
      <c r="L551" s="11">
        <v>3690</v>
      </c>
      <c r="M551" s="11"/>
      <c r="N551" s="11"/>
      <c r="O551" s="11">
        <v>13</v>
      </c>
      <c r="P551" s="11"/>
      <c r="Q551" s="11"/>
      <c r="R551" s="11"/>
      <c r="S551" s="11">
        <v>96</v>
      </c>
      <c r="T551" s="11"/>
      <c r="U551" s="11">
        <v>326</v>
      </c>
      <c r="V551" s="11"/>
      <c r="W551" s="11"/>
      <c r="X551" s="11"/>
      <c r="Y551" s="11"/>
      <c r="Z551" s="11"/>
      <c r="AA551" s="11">
        <v>108</v>
      </c>
      <c r="AB551" s="11">
        <v>72</v>
      </c>
      <c r="AC551" s="11"/>
      <c r="AD551" s="11"/>
      <c r="AE551" s="11"/>
      <c r="AF551" s="11">
        <v>530</v>
      </c>
      <c r="AG551" s="11"/>
      <c r="AH551" s="11"/>
      <c r="AI551" s="11"/>
      <c r="AJ551" s="11"/>
      <c r="AK551" s="11"/>
      <c r="AL551" s="11">
        <v>85</v>
      </c>
      <c r="AM551" s="11"/>
      <c r="AN551" s="11"/>
      <c r="AO551" s="11"/>
      <c r="AP551" s="11"/>
      <c r="AQ551" s="11">
        <v>576</v>
      </c>
      <c r="AR551" s="11">
        <v>39</v>
      </c>
      <c r="AS551" s="11"/>
      <c r="AT551" s="11"/>
      <c r="AU551" s="11"/>
      <c r="AV551" s="11"/>
      <c r="AW551" s="20" t="str">
        <f>HYPERLINK("http://www.openstreetmap.org/?mlat=34.4728&amp;mlon=43.7342&amp;zoom=12#map=12/34.4728/43.7342","Maplink1")</f>
        <v>Maplink1</v>
      </c>
      <c r="AX551" s="20" t="str">
        <f>HYPERLINK("https://www.google.iq/maps/search/+34.4728,43.7342/@34.4728,43.7342,14z?hl=en","Maplink2")</f>
        <v>Maplink2</v>
      </c>
      <c r="AY551" s="20" t="str">
        <f>HYPERLINK("http://www.bing.com/maps/?lvl=14&amp;sty=h&amp;cp=34.4728~43.7342&amp;sp=point.34.4728_43.7342","Maplink3")</f>
        <v>Maplink3</v>
      </c>
    </row>
    <row r="552" spans="1:51" s="19" customFormat="1" x14ac:dyDescent="0.25">
      <c r="A552" s="9">
        <v>20425</v>
      </c>
      <c r="B552" s="10" t="s">
        <v>22</v>
      </c>
      <c r="C552" s="10" t="s">
        <v>733</v>
      </c>
      <c r="D552" s="10" t="s">
        <v>734</v>
      </c>
      <c r="E552" s="10" t="s">
        <v>735</v>
      </c>
      <c r="F552" s="10">
        <v>34.796410000000002</v>
      </c>
      <c r="G552" s="10">
        <v>44.584961999999997</v>
      </c>
      <c r="H552" s="10" t="s">
        <v>612</v>
      </c>
      <c r="I552" s="10" t="s">
        <v>736</v>
      </c>
      <c r="J552" s="10" t="s">
        <v>737</v>
      </c>
      <c r="K552" s="11">
        <v>351</v>
      </c>
      <c r="L552" s="11">
        <v>2106</v>
      </c>
      <c r="M552" s="11"/>
      <c r="N552" s="11"/>
      <c r="O552" s="11">
        <v>21</v>
      </c>
      <c r="P552" s="11"/>
      <c r="Q552" s="11"/>
      <c r="R552" s="11"/>
      <c r="S552" s="11"/>
      <c r="T552" s="11">
        <v>130</v>
      </c>
      <c r="U552" s="11">
        <v>100</v>
      </c>
      <c r="V552" s="11"/>
      <c r="W552" s="11"/>
      <c r="X552" s="11">
        <v>40</v>
      </c>
      <c r="Y552" s="11"/>
      <c r="Z552" s="11"/>
      <c r="AA552" s="11">
        <v>60</v>
      </c>
      <c r="AB552" s="11"/>
      <c r="AC552" s="11"/>
      <c r="AD552" s="11"/>
      <c r="AE552" s="11"/>
      <c r="AF552" s="11">
        <v>330</v>
      </c>
      <c r="AG552" s="11">
        <v>21</v>
      </c>
      <c r="AH552" s="11"/>
      <c r="AI552" s="11"/>
      <c r="AJ552" s="11"/>
      <c r="AK552" s="11"/>
      <c r="AL552" s="11"/>
      <c r="AM552" s="11"/>
      <c r="AN552" s="11"/>
      <c r="AO552" s="11"/>
      <c r="AP552" s="11">
        <v>300</v>
      </c>
      <c r="AQ552" s="11">
        <v>51</v>
      </c>
      <c r="AR552" s="11"/>
      <c r="AS552" s="11"/>
      <c r="AT552" s="11"/>
      <c r="AU552" s="11"/>
      <c r="AV552" s="11"/>
      <c r="AW552" s="20" t="str">
        <f>HYPERLINK("http://www.openstreetmap.org/?mlat=34.7964&amp;mlon=44.585&amp;zoom=12#map=12/34.7964/44.585","Maplink1")</f>
        <v>Maplink1</v>
      </c>
      <c r="AX552" s="20" t="str">
        <f>HYPERLINK("https://www.google.iq/maps/search/+34.7964,44.585/@34.7964,44.585,14z?hl=en","Maplink2")</f>
        <v>Maplink2</v>
      </c>
      <c r="AY552" s="20" t="str">
        <f>HYPERLINK("http://www.bing.com/maps/?lvl=14&amp;sty=h&amp;cp=34.7964~44.585&amp;sp=point.34.7964_44.585","Maplink3")</f>
        <v>Maplink3</v>
      </c>
    </row>
    <row r="553" spans="1:51" s="19" customFormat="1" x14ac:dyDescent="0.25">
      <c r="A553" s="9">
        <v>20484</v>
      </c>
      <c r="B553" s="10" t="s">
        <v>22</v>
      </c>
      <c r="C553" s="10" t="s">
        <v>733</v>
      </c>
      <c r="D553" s="10" t="s">
        <v>738</v>
      </c>
      <c r="E553" s="10" t="s">
        <v>739</v>
      </c>
      <c r="F553" s="10">
        <v>34.818984</v>
      </c>
      <c r="G553" s="10">
        <v>44.557499</v>
      </c>
      <c r="H553" s="10" t="s">
        <v>612</v>
      </c>
      <c r="I553" s="10" t="s">
        <v>736</v>
      </c>
      <c r="J553" s="10" t="s">
        <v>740</v>
      </c>
      <c r="K553" s="11">
        <v>328</v>
      </c>
      <c r="L553" s="11">
        <v>1968</v>
      </c>
      <c r="M553" s="11"/>
      <c r="N553" s="11"/>
      <c r="O553" s="11">
        <v>15</v>
      </c>
      <c r="P553" s="11"/>
      <c r="Q553" s="11"/>
      <c r="R553" s="11"/>
      <c r="S553" s="11"/>
      <c r="T553" s="11">
        <v>50</v>
      </c>
      <c r="U553" s="11">
        <v>35</v>
      </c>
      <c r="V553" s="11"/>
      <c r="W553" s="11"/>
      <c r="X553" s="11">
        <v>35</v>
      </c>
      <c r="Y553" s="11"/>
      <c r="Z553" s="11"/>
      <c r="AA553" s="11">
        <v>193</v>
      </c>
      <c r="AB553" s="11"/>
      <c r="AC553" s="11"/>
      <c r="AD553" s="11"/>
      <c r="AE553" s="11"/>
      <c r="AF553" s="11">
        <v>300</v>
      </c>
      <c r="AG553" s="11">
        <v>28</v>
      </c>
      <c r="AH553" s="11"/>
      <c r="AI553" s="11"/>
      <c r="AJ553" s="11"/>
      <c r="AK553" s="11"/>
      <c r="AL553" s="11"/>
      <c r="AM553" s="11"/>
      <c r="AN553" s="11"/>
      <c r="AO553" s="11"/>
      <c r="AP553" s="11">
        <v>298</v>
      </c>
      <c r="AQ553" s="11">
        <v>30</v>
      </c>
      <c r="AR553" s="11"/>
      <c r="AS553" s="11"/>
      <c r="AT553" s="11"/>
      <c r="AU553" s="11"/>
      <c r="AV553" s="11"/>
      <c r="AW553" s="20" t="str">
        <f>HYPERLINK("http://www.openstreetmap.org/?mlat=34.819&amp;mlon=44.5575&amp;zoom=12#map=12/34.819/44.5575","Maplink1")</f>
        <v>Maplink1</v>
      </c>
      <c r="AX553" s="20" t="str">
        <f>HYPERLINK("https://www.google.iq/maps/search/+34.819,44.5575/@34.819,44.5575,14z?hl=en","Maplink2")</f>
        <v>Maplink2</v>
      </c>
      <c r="AY553" s="20" t="str">
        <f>HYPERLINK("http://www.bing.com/maps/?lvl=14&amp;sty=h&amp;cp=34.819~44.5575&amp;sp=point.34.819_44.5575","Maplink3")</f>
        <v>Maplink3</v>
      </c>
    </row>
    <row r="554" spans="1:51" s="19" customFormat="1" x14ac:dyDescent="0.25">
      <c r="A554" s="9">
        <v>27235</v>
      </c>
      <c r="B554" s="10" t="s">
        <v>22</v>
      </c>
      <c r="C554" s="10" t="s">
        <v>733</v>
      </c>
      <c r="D554" s="10" t="s">
        <v>816</v>
      </c>
      <c r="E554" s="10" t="s">
        <v>1288</v>
      </c>
      <c r="F554" s="10">
        <v>34.730262000000003</v>
      </c>
      <c r="G554" s="10">
        <v>44.589300000000001</v>
      </c>
      <c r="H554" s="10" t="s">
        <v>612</v>
      </c>
      <c r="I554" s="10" t="s">
        <v>736</v>
      </c>
      <c r="J554" s="10"/>
      <c r="K554" s="11">
        <v>35</v>
      </c>
      <c r="L554" s="11">
        <v>210</v>
      </c>
      <c r="M554" s="11"/>
      <c r="N554" s="11"/>
      <c r="O554" s="11">
        <v>5</v>
      </c>
      <c r="P554" s="11"/>
      <c r="Q554" s="11"/>
      <c r="R554" s="11"/>
      <c r="S554" s="11"/>
      <c r="T554" s="11">
        <v>5</v>
      </c>
      <c r="U554" s="11">
        <v>5</v>
      </c>
      <c r="V554" s="11"/>
      <c r="W554" s="11"/>
      <c r="X554" s="11">
        <v>10</v>
      </c>
      <c r="Y554" s="11"/>
      <c r="Z554" s="11"/>
      <c r="AA554" s="11">
        <v>10</v>
      </c>
      <c r="AB554" s="11"/>
      <c r="AC554" s="11"/>
      <c r="AD554" s="11"/>
      <c r="AE554" s="11"/>
      <c r="AF554" s="11">
        <v>35</v>
      </c>
      <c r="AG554" s="11"/>
      <c r="AH554" s="11"/>
      <c r="AI554" s="11"/>
      <c r="AJ554" s="11"/>
      <c r="AK554" s="11"/>
      <c r="AL554" s="11"/>
      <c r="AM554" s="11"/>
      <c r="AN554" s="11"/>
      <c r="AO554" s="11"/>
      <c r="AP554" s="11">
        <v>35</v>
      </c>
      <c r="AQ554" s="11"/>
      <c r="AR554" s="11"/>
      <c r="AS554" s="11"/>
      <c r="AT554" s="11"/>
      <c r="AU554" s="11"/>
      <c r="AV554" s="11"/>
      <c r="AW554" s="20" t="str">
        <f>HYPERLINK("http://www.openstreetmap.org/?mlat=34.7303&amp;mlon=44.5893&amp;zoom=12#map=12/34.7303/44.5893","Maplink1")</f>
        <v>Maplink1</v>
      </c>
      <c r="AX554" s="20" t="str">
        <f>HYPERLINK("https://www.google.iq/maps/search/+34.7303,44.5893/@34.7303,44.5893,14z?hl=en","Maplink2")</f>
        <v>Maplink2</v>
      </c>
      <c r="AY554" s="20" t="str">
        <f>HYPERLINK("http://www.bing.com/maps/?lvl=14&amp;sty=h&amp;cp=34.7303~44.5893&amp;sp=point.34.7303_44.5893","Maplink3")</f>
        <v>Maplink3</v>
      </c>
    </row>
    <row r="555" spans="1:51" s="19" customFormat="1" x14ac:dyDescent="0.25">
      <c r="A555" s="9">
        <v>27238</v>
      </c>
      <c r="B555" s="10" t="s">
        <v>22</v>
      </c>
      <c r="C555" s="10" t="s">
        <v>733</v>
      </c>
      <c r="D555" s="10" t="s">
        <v>741</v>
      </c>
      <c r="E555" s="10" t="s">
        <v>742</v>
      </c>
      <c r="F555" s="10">
        <v>34.722593000000003</v>
      </c>
      <c r="G555" s="10">
        <v>44.583936999999999</v>
      </c>
      <c r="H555" s="10" t="s">
        <v>612</v>
      </c>
      <c r="I555" s="10" t="s">
        <v>736</v>
      </c>
      <c r="J555" s="10"/>
      <c r="K555" s="11">
        <v>25</v>
      </c>
      <c r="L555" s="11">
        <v>150</v>
      </c>
      <c r="M555" s="11"/>
      <c r="N555" s="11"/>
      <c r="O555" s="11">
        <v>5</v>
      </c>
      <c r="P555" s="11"/>
      <c r="Q555" s="11"/>
      <c r="R555" s="11"/>
      <c r="S555" s="11"/>
      <c r="T555" s="11">
        <v>5</v>
      </c>
      <c r="U555" s="11">
        <v>5</v>
      </c>
      <c r="V555" s="11"/>
      <c r="W555" s="11"/>
      <c r="X555" s="11">
        <v>3</v>
      </c>
      <c r="Y555" s="11"/>
      <c r="Z555" s="11"/>
      <c r="AA555" s="11">
        <v>7</v>
      </c>
      <c r="AB555" s="11"/>
      <c r="AC555" s="11"/>
      <c r="AD555" s="11"/>
      <c r="AE555" s="11"/>
      <c r="AF555" s="11">
        <v>25</v>
      </c>
      <c r="AG555" s="11"/>
      <c r="AH555" s="11"/>
      <c r="AI555" s="11"/>
      <c r="AJ555" s="11"/>
      <c r="AK555" s="11"/>
      <c r="AL555" s="11"/>
      <c r="AM555" s="11"/>
      <c r="AN555" s="11"/>
      <c r="AO555" s="11"/>
      <c r="AP555" s="11">
        <v>25</v>
      </c>
      <c r="AQ555" s="11"/>
      <c r="AR555" s="11"/>
      <c r="AS555" s="11"/>
      <c r="AT555" s="11"/>
      <c r="AU555" s="11"/>
      <c r="AV555" s="11"/>
      <c r="AW555" s="20" t="str">
        <f>HYPERLINK("http://www.openstreetmap.org/?mlat=34.7226&amp;mlon=44.5839&amp;zoom=12#map=12/34.7226/44.5839","Maplink1")</f>
        <v>Maplink1</v>
      </c>
      <c r="AX555" s="20" t="str">
        <f>HYPERLINK("https://www.google.iq/maps/search/+34.7226,44.5839/@34.7226,44.5839,14z?hl=en","Maplink2")</f>
        <v>Maplink2</v>
      </c>
      <c r="AY555" s="20" t="str">
        <f>HYPERLINK("http://www.bing.com/maps/?lvl=14&amp;sty=h&amp;cp=34.7226~44.5839&amp;sp=point.34.7226_44.5839","Maplink3")</f>
        <v>Maplink3</v>
      </c>
    </row>
    <row r="556" spans="1:51" s="19" customFormat="1" x14ac:dyDescent="0.25">
      <c r="A556" s="9">
        <v>27234</v>
      </c>
      <c r="B556" s="10" t="s">
        <v>22</v>
      </c>
      <c r="C556" s="10" t="s">
        <v>733</v>
      </c>
      <c r="D556" s="10" t="s">
        <v>743</v>
      </c>
      <c r="E556" s="10" t="s">
        <v>545</v>
      </c>
      <c r="F556" s="10">
        <v>34.726584000000003</v>
      </c>
      <c r="G556" s="10">
        <v>44.584608000000003</v>
      </c>
      <c r="H556" s="10" t="s">
        <v>612</v>
      </c>
      <c r="I556" s="10" t="s">
        <v>736</v>
      </c>
      <c r="J556" s="10"/>
      <c r="K556" s="11">
        <v>85</v>
      </c>
      <c r="L556" s="11">
        <v>510</v>
      </c>
      <c r="M556" s="11"/>
      <c r="N556" s="11"/>
      <c r="O556" s="11"/>
      <c r="P556" s="11"/>
      <c r="Q556" s="11"/>
      <c r="R556" s="11"/>
      <c r="S556" s="11"/>
      <c r="T556" s="11">
        <v>15</v>
      </c>
      <c r="U556" s="11">
        <v>30</v>
      </c>
      <c r="V556" s="11"/>
      <c r="W556" s="11"/>
      <c r="X556" s="11">
        <v>10</v>
      </c>
      <c r="Y556" s="11"/>
      <c r="Z556" s="11"/>
      <c r="AA556" s="11">
        <v>30</v>
      </c>
      <c r="AB556" s="11"/>
      <c r="AC556" s="11"/>
      <c r="AD556" s="11"/>
      <c r="AE556" s="11"/>
      <c r="AF556" s="11">
        <v>85</v>
      </c>
      <c r="AG556" s="11"/>
      <c r="AH556" s="11"/>
      <c r="AI556" s="11"/>
      <c r="AJ556" s="11"/>
      <c r="AK556" s="11"/>
      <c r="AL556" s="11"/>
      <c r="AM556" s="11"/>
      <c r="AN556" s="11"/>
      <c r="AO556" s="11"/>
      <c r="AP556" s="11">
        <v>65</v>
      </c>
      <c r="AQ556" s="11">
        <v>20</v>
      </c>
      <c r="AR556" s="11"/>
      <c r="AS556" s="11"/>
      <c r="AT556" s="11"/>
      <c r="AU556" s="11"/>
      <c r="AV556" s="11"/>
      <c r="AW556" s="20" t="str">
        <f>HYPERLINK("http://www.openstreetmap.org/?mlat=34.7266&amp;mlon=44.5846&amp;zoom=12#map=12/34.7266/44.5846","Maplink1")</f>
        <v>Maplink1</v>
      </c>
      <c r="AX556" s="20" t="str">
        <f>HYPERLINK("https://www.google.iq/maps/search/+34.7266,44.5846/@34.7266,44.5846,14z?hl=en","Maplink2")</f>
        <v>Maplink2</v>
      </c>
      <c r="AY556" s="20" t="str">
        <f>HYPERLINK("http://www.bing.com/maps/?lvl=14&amp;sty=h&amp;cp=34.7266~44.5846&amp;sp=point.34.7266_44.5846","Maplink3")</f>
        <v>Maplink3</v>
      </c>
    </row>
    <row r="557" spans="1:51" s="19" customFormat="1" x14ac:dyDescent="0.25">
      <c r="A557" s="9">
        <v>27236</v>
      </c>
      <c r="B557" s="10" t="s">
        <v>22</v>
      </c>
      <c r="C557" s="10" t="s">
        <v>733</v>
      </c>
      <c r="D557" s="10" t="s">
        <v>744</v>
      </c>
      <c r="E557" s="10" t="s">
        <v>483</v>
      </c>
      <c r="F557" s="10">
        <v>34.727373999999998</v>
      </c>
      <c r="G557" s="10">
        <v>44.58222</v>
      </c>
      <c r="H557" s="10" t="s">
        <v>612</v>
      </c>
      <c r="I557" s="10" t="s">
        <v>736</v>
      </c>
      <c r="J557" s="10"/>
      <c r="K557" s="11">
        <v>45</v>
      </c>
      <c r="L557" s="11">
        <v>270</v>
      </c>
      <c r="M557" s="11"/>
      <c r="N557" s="11"/>
      <c r="O557" s="11"/>
      <c r="P557" s="11"/>
      <c r="Q557" s="11"/>
      <c r="R557" s="11"/>
      <c r="S557" s="11"/>
      <c r="T557" s="11">
        <v>10</v>
      </c>
      <c r="U557" s="11">
        <v>10</v>
      </c>
      <c r="V557" s="11"/>
      <c r="W557" s="11"/>
      <c r="X557" s="11">
        <v>5</v>
      </c>
      <c r="Y557" s="11"/>
      <c r="Z557" s="11"/>
      <c r="AA557" s="11">
        <v>20</v>
      </c>
      <c r="AB557" s="11"/>
      <c r="AC557" s="11"/>
      <c r="AD557" s="11"/>
      <c r="AE557" s="11"/>
      <c r="AF557" s="11">
        <v>45</v>
      </c>
      <c r="AG557" s="11"/>
      <c r="AH557" s="11"/>
      <c r="AI557" s="11"/>
      <c r="AJ557" s="11"/>
      <c r="AK557" s="11"/>
      <c r="AL557" s="11"/>
      <c r="AM557" s="11"/>
      <c r="AN557" s="11"/>
      <c r="AO557" s="11"/>
      <c r="AP557" s="11">
        <v>45</v>
      </c>
      <c r="AQ557" s="11"/>
      <c r="AR557" s="11"/>
      <c r="AS557" s="11"/>
      <c r="AT557" s="11"/>
      <c r="AU557" s="11"/>
      <c r="AV557" s="11"/>
      <c r="AW557" s="20" t="str">
        <f>HYPERLINK("http://www.openstreetmap.org/?mlat=34.7274&amp;mlon=44.5822&amp;zoom=12#map=12/34.7274/44.5822","Maplink1")</f>
        <v>Maplink1</v>
      </c>
      <c r="AX557" s="20" t="str">
        <f>HYPERLINK("https://www.google.iq/maps/search/+34.7274,44.5822/@34.7274,44.5822,14z?hl=en","Maplink2")</f>
        <v>Maplink2</v>
      </c>
      <c r="AY557" s="20" t="str">
        <f>HYPERLINK("http://www.bing.com/maps/?lvl=14&amp;sty=h&amp;cp=34.7274~44.5822&amp;sp=point.34.7274_44.5822","Maplink3")</f>
        <v>Maplink3</v>
      </c>
    </row>
    <row r="558" spans="1:51" s="19" customFormat="1" x14ac:dyDescent="0.25">
      <c r="A558" s="9">
        <v>27237</v>
      </c>
      <c r="B558" s="10" t="s">
        <v>22</v>
      </c>
      <c r="C558" s="10" t="s">
        <v>733</v>
      </c>
      <c r="D558" s="10" t="s">
        <v>817</v>
      </c>
      <c r="E558" s="10" t="s">
        <v>295</v>
      </c>
      <c r="F558" s="10">
        <v>34.724364000000001</v>
      </c>
      <c r="G558" s="10">
        <v>44.587766000000002</v>
      </c>
      <c r="H558" s="10" t="s">
        <v>612</v>
      </c>
      <c r="I558" s="10" t="s">
        <v>736</v>
      </c>
      <c r="J558" s="10"/>
      <c r="K558" s="11">
        <v>40</v>
      </c>
      <c r="L558" s="11">
        <v>240</v>
      </c>
      <c r="M558" s="11"/>
      <c r="N558" s="11"/>
      <c r="O558" s="11"/>
      <c r="P558" s="11"/>
      <c r="Q558" s="11"/>
      <c r="R558" s="11"/>
      <c r="S558" s="11"/>
      <c r="T558" s="11">
        <v>10</v>
      </c>
      <c r="U558" s="11">
        <v>15</v>
      </c>
      <c r="V558" s="11"/>
      <c r="W558" s="11"/>
      <c r="X558" s="11">
        <v>5</v>
      </c>
      <c r="Y558" s="11"/>
      <c r="Z558" s="11"/>
      <c r="AA558" s="11">
        <v>10</v>
      </c>
      <c r="AB558" s="11"/>
      <c r="AC558" s="11"/>
      <c r="AD558" s="11"/>
      <c r="AE558" s="11"/>
      <c r="AF558" s="11">
        <v>40</v>
      </c>
      <c r="AG558" s="11"/>
      <c r="AH558" s="11"/>
      <c r="AI558" s="11"/>
      <c r="AJ558" s="11"/>
      <c r="AK558" s="11"/>
      <c r="AL558" s="11"/>
      <c r="AM558" s="11"/>
      <c r="AN558" s="11"/>
      <c r="AO558" s="11"/>
      <c r="AP558" s="11">
        <v>35</v>
      </c>
      <c r="AQ558" s="11">
        <v>5</v>
      </c>
      <c r="AR558" s="11"/>
      <c r="AS558" s="11"/>
      <c r="AT558" s="11"/>
      <c r="AU558" s="11"/>
      <c r="AV558" s="11"/>
      <c r="AW558" s="20" t="str">
        <f>HYPERLINK("http://www.openstreetmap.org/?mlat=34.7244&amp;mlon=44.5878&amp;zoom=12#map=12/34.7244/44.5878","Maplink1")</f>
        <v>Maplink1</v>
      </c>
      <c r="AX558" s="20" t="str">
        <f>HYPERLINK("https://www.google.iq/maps/search/+34.7244,44.5878/@34.7244,44.5878,14z?hl=en","Maplink2")</f>
        <v>Maplink2</v>
      </c>
      <c r="AY558" s="20" t="str">
        <f>HYPERLINK("http://www.bing.com/maps/?lvl=14&amp;sty=h&amp;cp=34.7244~44.5878&amp;sp=point.34.7244_44.5878","Maplink3")</f>
        <v>Maplink3</v>
      </c>
    </row>
    <row r="559" spans="1:51" s="19" customFormat="1" x14ac:dyDescent="0.25">
      <c r="A559" s="9">
        <v>27239</v>
      </c>
      <c r="B559" s="10" t="s">
        <v>22</v>
      </c>
      <c r="C559" s="10" t="s">
        <v>733</v>
      </c>
      <c r="D559" s="10" t="s">
        <v>745</v>
      </c>
      <c r="E559" s="10" t="s">
        <v>746</v>
      </c>
      <c r="F559" s="10">
        <v>34.725079999999998</v>
      </c>
      <c r="G559" s="10">
        <v>44.580514999999998</v>
      </c>
      <c r="H559" s="10" t="s">
        <v>612</v>
      </c>
      <c r="I559" s="10" t="s">
        <v>736</v>
      </c>
      <c r="J559" s="10"/>
      <c r="K559" s="11">
        <v>43</v>
      </c>
      <c r="L559" s="11">
        <v>258</v>
      </c>
      <c r="M559" s="11"/>
      <c r="N559" s="11"/>
      <c r="O559" s="11"/>
      <c r="P559" s="11"/>
      <c r="Q559" s="11"/>
      <c r="R559" s="11"/>
      <c r="S559" s="11"/>
      <c r="T559" s="11">
        <v>8</v>
      </c>
      <c r="U559" s="11">
        <v>15</v>
      </c>
      <c r="V559" s="11"/>
      <c r="W559" s="11"/>
      <c r="X559" s="11">
        <v>8</v>
      </c>
      <c r="Y559" s="11"/>
      <c r="Z559" s="11"/>
      <c r="AA559" s="11">
        <v>12</v>
      </c>
      <c r="AB559" s="11"/>
      <c r="AC559" s="11"/>
      <c r="AD559" s="11"/>
      <c r="AE559" s="11"/>
      <c r="AF559" s="11">
        <v>43</v>
      </c>
      <c r="AG559" s="11"/>
      <c r="AH559" s="11"/>
      <c r="AI559" s="11"/>
      <c r="AJ559" s="11"/>
      <c r="AK559" s="11"/>
      <c r="AL559" s="11"/>
      <c r="AM559" s="11"/>
      <c r="AN559" s="11"/>
      <c r="AO559" s="11"/>
      <c r="AP559" s="11">
        <v>43</v>
      </c>
      <c r="AQ559" s="11"/>
      <c r="AR559" s="11"/>
      <c r="AS559" s="11"/>
      <c r="AT559" s="11"/>
      <c r="AU559" s="11"/>
      <c r="AV559" s="11"/>
      <c r="AW559" s="20" t="str">
        <f>HYPERLINK("http://www.openstreetmap.org/?mlat=34.7251&amp;mlon=44.5805&amp;zoom=12#map=12/34.7251/44.5805","Maplink1")</f>
        <v>Maplink1</v>
      </c>
      <c r="AX559" s="20" t="str">
        <f>HYPERLINK("https://www.google.iq/maps/search/+34.7251,44.5805/@34.7251,44.5805,14z?hl=en","Maplink2")</f>
        <v>Maplink2</v>
      </c>
      <c r="AY559" s="20" t="str">
        <f>HYPERLINK("http://www.bing.com/maps/?lvl=14&amp;sty=h&amp;cp=34.7251~44.5805&amp;sp=point.34.7251_44.5805","Maplink3")</f>
        <v>Maplink3</v>
      </c>
    </row>
    <row r="560" spans="1:51" s="19" customFormat="1" x14ac:dyDescent="0.25">
      <c r="A560" s="9">
        <v>27240</v>
      </c>
      <c r="B560" s="10" t="s">
        <v>22</v>
      </c>
      <c r="C560" s="10" t="s">
        <v>733</v>
      </c>
      <c r="D560" s="10" t="s">
        <v>818</v>
      </c>
      <c r="E560" s="10" t="s">
        <v>747</v>
      </c>
      <c r="F560" s="10">
        <v>34.724910000000001</v>
      </c>
      <c r="G560" s="10">
        <v>44.590206000000002</v>
      </c>
      <c r="H560" s="10" t="s">
        <v>612</v>
      </c>
      <c r="I560" s="10" t="s">
        <v>736</v>
      </c>
      <c r="J560" s="10"/>
      <c r="K560" s="11">
        <v>20</v>
      </c>
      <c r="L560" s="11">
        <v>120</v>
      </c>
      <c r="M560" s="11"/>
      <c r="N560" s="11"/>
      <c r="O560" s="11"/>
      <c r="P560" s="11"/>
      <c r="Q560" s="11"/>
      <c r="R560" s="11"/>
      <c r="S560" s="11"/>
      <c r="T560" s="11"/>
      <c r="U560" s="11">
        <v>5</v>
      </c>
      <c r="V560" s="11"/>
      <c r="W560" s="11"/>
      <c r="X560" s="11">
        <v>5</v>
      </c>
      <c r="Y560" s="11"/>
      <c r="Z560" s="11"/>
      <c r="AA560" s="11">
        <v>10</v>
      </c>
      <c r="AB560" s="11"/>
      <c r="AC560" s="11"/>
      <c r="AD560" s="11"/>
      <c r="AE560" s="11"/>
      <c r="AF560" s="11">
        <v>20</v>
      </c>
      <c r="AG560" s="11"/>
      <c r="AH560" s="11"/>
      <c r="AI560" s="11"/>
      <c r="AJ560" s="11"/>
      <c r="AK560" s="11"/>
      <c r="AL560" s="11"/>
      <c r="AM560" s="11"/>
      <c r="AN560" s="11"/>
      <c r="AO560" s="11"/>
      <c r="AP560" s="11">
        <v>20</v>
      </c>
      <c r="AQ560" s="11"/>
      <c r="AR560" s="11"/>
      <c r="AS560" s="11"/>
      <c r="AT560" s="11"/>
      <c r="AU560" s="11"/>
      <c r="AV560" s="11"/>
      <c r="AW560" s="20" t="str">
        <f>HYPERLINK("http://www.openstreetmap.org/?mlat=34.7249&amp;mlon=44.5902&amp;zoom=12#map=12/34.7249/44.5902","Maplink1")</f>
        <v>Maplink1</v>
      </c>
      <c r="AX560" s="20" t="str">
        <f>HYPERLINK("https://www.google.iq/maps/search/+34.7249,44.5902/@34.7249,44.5902,14z?hl=en","Maplink2")</f>
        <v>Maplink2</v>
      </c>
      <c r="AY560" s="20" t="str">
        <f>HYPERLINK("http://www.bing.com/maps/?lvl=14&amp;sty=h&amp;cp=34.7249~44.5902&amp;sp=point.34.7249_44.5902","Maplink3")</f>
        <v>Maplink3</v>
      </c>
    </row>
    <row r="561" spans="1:51" s="19" customFormat="1" x14ac:dyDescent="0.25">
      <c r="A561" s="9">
        <v>27241</v>
      </c>
      <c r="B561" s="10" t="s">
        <v>22</v>
      </c>
      <c r="C561" s="10" t="s">
        <v>733</v>
      </c>
      <c r="D561" s="10" t="s">
        <v>748</v>
      </c>
      <c r="E561" s="10" t="s">
        <v>749</v>
      </c>
      <c r="F561" s="10">
        <v>34.719239999999999</v>
      </c>
      <c r="G561" s="10">
        <v>44.581716</v>
      </c>
      <c r="H561" s="10" t="s">
        <v>612</v>
      </c>
      <c r="I561" s="10" t="s">
        <v>736</v>
      </c>
      <c r="J561" s="10"/>
      <c r="K561" s="11">
        <v>30</v>
      </c>
      <c r="L561" s="11">
        <v>180</v>
      </c>
      <c r="M561" s="11"/>
      <c r="N561" s="11"/>
      <c r="O561" s="11"/>
      <c r="P561" s="11"/>
      <c r="Q561" s="11"/>
      <c r="R561" s="11"/>
      <c r="S561" s="11"/>
      <c r="T561" s="11">
        <v>4</v>
      </c>
      <c r="U561" s="11">
        <v>10</v>
      </c>
      <c r="V561" s="11"/>
      <c r="W561" s="11"/>
      <c r="X561" s="11">
        <v>1</v>
      </c>
      <c r="Y561" s="11"/>
      <c r="Z561" s="11"/>
      <c r="AA561" s="11">
        <v>15</v>
      </c>
      <c r="AB561" s="11"/>
      <c r="AC561" s="11"/>
      <c r="AD561" s="11"/>
      <c r="AE561" s="11"/>
      <c r="AF561" s="11">
        <v>30</v>
      </c>
      <c r="AG561" s="11"/>
      <c r="AH561" s="11"/>
      <c r="AI561" s="11"/>
      <c r="AJ561" s="11"/>
      <c r="AK561" s="11"/>
      <c r="AL561" s="11"/>
      <c r="AM561" s="11"/>
      <c r="AN561" s="11"/>
      <c r="AO561" s="11"/>
      <c r="AP561" s="11">
        <v>30</v>
      </c>
      <c r="AQ561" s="11"/>
      <c r="AR561" s="11"/>
      <c r="AS561" s="11"/>
      <c r="AT561" s="11"/>
      <c r="AU561" s="11"/>
      <c r="AV561" s="11"/>
      <c r="AW561" s="20" t="str">
        <f>HYPERLINK("http://www.openstreetmap.org/?mlat=34.7192&amp;mlon=44.5817&amp;zoom=12#map=12/34.7192/44.5817","Maplink1")</f>
        <v>Maplink1</v>
      </c>
      <c r="AX561" s="20" t="str">
        <f>HYPERLINK("https://www.google.iq/maps/search/+34.7192,44.5817/@34.7192,44.5817,14z?hl=en","Maplink2")</f>
        <v>Maplink2</v>
      </c>
      <c r="AY561" s="20" t="str">
        <f>HYPERLINK("http://www.bing.com/maps/?lvl=14&amp;sty=h&amp;cp=34.7192~44.5817&amp;sp=point.34.7192_44.5817","Maplink3")</f>
        <v>Maplink3</v>
      </c>
    </row>
    <row r="562" spans="1:51" s="19" customFormat="1" x14ac:dyDescent="0.25">
      <c r="A562" s="9">
        <v>27242</v>
      </c>
      <c r="B562" s="10" t="s">
        <v>22</v>
      </c>
      <c r="C562" s="10" t="s">
        <v>733</v>
      </c>
      <c r="D562" s="10" t="s">
        <v>750</v>
      </c>
      <c r="E562" s="10" t="s">
        <v>751</v>
      </c>
      <c r="F562" s="10">
        <v>34.785884000000003</v>
      </c>
      <c r="G562" s="10">
        <v>44.570115999999999</v>
      </c>
      <c r="H562" s="10" t="s">
        <v>612</v>
      </c>
      <c r="I562" s="10" t="s">
        <v>736</v>
      </c>
      <c r="J562" s="10"/>
      <c r="K562" s="11">
        <v>186</v>
      </c>
      <c r="L562" s="11">
        <v>1116</v>
      </c>
      <c r="M562" s="11"/>
      <c r="N562" s="11"/>
      <c r="O562" s="11">
        <v>7</v>
      </c>
      <c r="P562" s="11"/>
      <c r="Q562" s="11"/>
      <c r="R562" s="11"/>
      <c r="S562" s="11"/>
      <c r="T562" s="11">
        <v>10</v>
      </c>
      <c r="U562" s="11">
        <v>20</v>
      </c>
      <c r="V562" s="11"/>
      <c r="W562" s="11"/>
      <c r="X562" s="11">
        <v>20</v>
      </c>
      <c r="Y562" s="11"/>
      <c r="Z562" s="11"/>
      <c r="AA562" s="11">
        <v>129</v>
      </c>
      <c r="AB562" s="11"/>
      <c r="AC562" s="11"/>
      <c r="AD562" s="11"/>
      <c r="AE562" s="11"/>
      <c r="AF562" s="11">
        <v>170</v>
      </c>
      <c r="AG562" s="11">
        <v>16</v>
      </c>
      <c r="AH562" s="11"/>
      <c r="AI562" s="11"/>
      <c r="AJ562" s="11"/>
      <c r="AK562" s="11"/>
      <c r="AL562" s="11"/>
      <c r="AM562" s="11"/>
      <c r="AN562" s="11"/>
      <c r="AO562" s="11"/>
      <c r="AP562" s="11">
        <v>170</v>
      </c>
      <c r="AQ562" s="11">
        <v>16</v>
      </c>
      <c r="AR562" s="11"/>
      <c r="AS562" s="11"/>
      <c r="AT562" s="11"/>
      <c r="AU562" s="11"/>
      <c r="AV562" s="11"/>
      <c r="AW562" s="20" t="str">
        <f>HYPERLINK("http://www.openstreetmap.org/?mlat=34.7859&amp;mlon=44.5701&amp;zoom=12#map=12/34.7859/44.5701","Maplink1")</f>
        <v>Maplink1</v>
      </c>
      <c r="AX562" s="20" t="str">
        <f>HYPERLINK("https://www.google.iq/maps/search/+34.7859,44.5701/@34.7859,44.5701,14z?hl=en","Maplink2")</f>
        <v>Maplink2</v>
      </c>
      <c r="AY562" s="20" t="str">
        <f>HYPERLINK("http://www.bing.com/maps/?lvl=14&amp;sty=h&amp;cp=34.7859~44.5701&amp;sp=point.34.7859_44.5701","Maplink3")</f>
        <v>Maplink3</v>
      </c>
    </row>
  </sheetData>
  <autoFilter ref="A4:AY554"/>
  <mergeCells count="6">
    <mergeCell ref="A1:E1"/>
    <mergeCell ref="M3:AD3"/>
    <mergeCell ref="AE3:AO3"/>
    <mergeCell ref="AW3:AY3"/>
    <mergeCell ref="A3:J3"/>
    <mergeCell ref="AP3:AU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14" width="10.28515625" customWidth="1"/>
    <col min="15" max="15" width="11.42578125" customWidth="1"/>
    <col min="16" max="20" width="10.28515625" customWidth="1"/>
    <col min="21" max="21" width="255" customWidth="1"/>
  </cols>
  <sheetData>
    <row r="1" spans="1:18" ht="25.5" x14ac:dyDescent="0.25">
      <c r="A1" s="51" t="s">
        <v>37</v>
      </c>
      <c r="B1" s="51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61" t="s">
        <v>55</v>
      </c>
      <c r="B2" s="62"/>
      <c r="C2" s="28">
        <f>COUNT('RETURNEE DATASET'!AP:AP)</f>
        <v>85</v>
      </c>
      <c r="D2" s="28">
        <f>SUM('RETURNEE DATASET'!AP:AP)</f>
        <v>23309</v>
      </c>
      <c r="E2" s="28">
        <f t="shared" ref="E2:E7" si="0">D2*6</f>
        <v>139854</v>
      </c>
      <c r="F2" s="30">
        <f t="shared" ref="F2:F8" si="1">E2/$E$9</f>
        <v>0.11368413865085132</v>
      </c>
    </row>
    <row r="3" spans="1:18" x14ac:dyDescent="0.25">
      <c r="A3" s="56" t="s">
        <v>42</v>
      </c>
      <c r="B3" s="57"/>
      <c r="C3" s="2">
        <f>COUNT('RETURNEE DATASET'!AQ:AQ)</f>
        <v>229</v>
      </c>
      <c r="D3" s="2">
        <f>SUM('RETURNEE DATASET'!AQ:AQ)</f>
        <v>53371</v>
      </c>
      <c r="E3" s="2">
        <f t="shared" si="0"/>
        <v>320226</v>
      </c>
      <c r="F3" s="3">
        <f t="shared" si="1"/>
        <v>0.26030443879765697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6" t="s">
        <v>43</v>
      </c>
      <c r="B4" s="57"/>
      <c r="C4" s="2">
        <f>COUNT('RETURNEE DATASET'!AR:AR)</f>
        <v>214</v>
      </c>
      <c r="D4" s="2">
        <f>SUM('RETURNEE DATASET'!AR:AR)</f>
        <v>41631</v>
      </c>
      <c r="E4" s="2">
        <f t="shared" si="0"/>
        <v>249786</v>
      </c>
      <c r="F4" s="3">
        <f t="shared" si="1"/>
        <v>0.20304536342930163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6" t="s">
        <v>44</v>
      </c>
      <c r="B5" s="57"/>
      <c r="C5" s="2">
        <f>COUNT('RETURNEE DATASET'!AS:AS)</f>
        <v>178</v>
      </c>
      <c r="D5" s="2">
        <f>SUM('RETURNEE DATASET'!AS:AS)</f>
        <v>34459</v>
      </c>
      <c r="E5" s="2">
        <f t="shared" si="0"/>
        <v>206754</v>
      </c>
      <c r="F5" s="3">
        <f t="shared" si="1"/>
        <v>0.16806562845980891</v>
      </c>
      <c r="H5" s="8"/>
      <c r="I5" s="12"/>
      <c r="J5" s="13"/>
      <c r="K5" s="8"/>
    </row>
    <row r="6" spans="1:18" x14ac:dyDescent="0.25">
      <c r="A6" s="56" t="s">
        <v>45</v>
      </c>
      <c r="B6" s="57"/>
      <c r="C6" s="2">
        <f>COUNT('RETURNEE DATASET'!AT:AT)</f>
        <v>77</v>
      </c>
      <c r="D6" s="2">
        <f>SUM('RETURNEE DATASET'!AT:AT)</f>
        <v>25813</v>
      </c>
      <c r="E6" s="2">
        <f t="shared" si="0"/>
        <v>154878</v>
      </c>
      <c r="F6" s="3">
        <f t="shared" si="1"/>
        <v>0.1258968068554818</v>
      </c>
      <c r="H6" s="8"/>
      <c r="I6" s="12"/>
      <c r="J6" s="13"/>
      <c r="K6" s="8"/>
    </row>
    <row r="7" spans="1:18" s="19" customFormat="1" x14ac:dyDescent="0.25">
      <c r="A7" s="63" t="s">
        <v>76</v>
      </c>
      <c r="B7" s="64"/>
      <c r="C7" s="2">
        <f>COUNT('RETURNEE DATASET'!AU:AUU)</f>
        <v>77</v>
      </c>
      <c r="D7" s="2">
        <f>SUM('RETURNEE DATASET'!AU:AU)</f>
        <v>25143</v>
      </c>
      <c r="E7" s="2">
        <f t="shared" si="0"/>
        <v>150858</v>
      </c>
      <c r="F7" s="3">
        <f t="shared" si="1"/>
        <v>0.12262904020328436</v>
      </c>
      <c r="J7" s="13"/>
    </row>
    <row r="8" spans="1:18" s="19" customFormat="1" x14ac:dyDescent="0.25">
      <c r="A8" s="45" t="s">
        <v>1459</v>
      </c>
      <c r="B8" s="46"/>
      <c r="C8" s="2">
        <f>COUNT('RETURNEE DATASET'!AV:AV)</f>
        <v>10</v>
      </c>
      <c r="D8" s="2">
        <f>SUM('RETURNEE DATASET'!AV:AV)</f>
        <v>1307</v>
      </c>
      <c r="E8" s="2">
        <f>D8*6</f>
        <v>7842</v>
      </c>
      <c r="F8" s="3">
        <f t="shared" si="1"/>
        <v>6.3745836036150274E-3</v>
      </c>
      <c r="J8" s="13"/>
    </row>
    <row r="9" spans="1:18" x14ac:dyDescent="0.25">
      <c r="A9" s="56" t="s">
        <v>0</v>
      </c>
      <c r="B9" s="57"/>
      <c r="C9" s="2"/>
      <c r="D9" s="14">
        <f>SUM(D2:D8)</f>
        <v>205033</v>
      </c>
      <c r="E9" s="14">
        <f>SUM(E2:E8)</f>
        <v>1230198</v>
      </c>
      <c r="F9" s="17">
        <f>SUM(F2:F8)</f>
        <v>0.99999999999999989</v>
      </c>
      <c r="H9" s="8"/>
      <c r="I9" s="8"/>
      <c r="J9" s="8"/>
      <c r="K9" s="8"/>
    </row>
    <row r="10" spans="1:18" ht="18" customHeight="1" x14ac:dyDescent="0.25"/>
    <row r="11" spans="1:18" ht="15" customHeight="1" x14ac:dyDescent="0.25">
      <c r="A11" s="24" t="s">
        <v>0</v>
      </c>
      <c r="B11" s="58" t="s">
        <v>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1:18" ht="25.5" x14ac:dyDescent="0.25">
      <c r="A12" s="25" t="s">
        <v>46</v>
      </c>
      <c r="B12" s="23" t="s">
        <v>26</v>
      </c>
      <c r="C12" s="23" t="s">
        <v>34</v>
      </c>
      <c r="D12" s="23" t="s">
        <v>28</v>
      </c>
      <c r="E12" s="23" t="s">
        <v>33</v>
      </c>
      <c r="F12" s="23" t="s">
        <v>32</v>
      </c>
      <c r="G12" s="23" t="s">
        <v>35</v>
      </c>
      <c r="H12" s="23" t="s">
        <v>30</v>
      </c>
      <c r="I12" s="23" t="s">
        <v>27</v>
      </c>
      <c r="J12" s="23" t="s">
        <v>29</v>
      </c>
      <c r="K12" s="23" t="s">
        <v>31</v>
      </c>
      <c r="L12" s="23" t="s">
        <v>36</v>
      </c>
      <c r="M12" s="23" t="s">
        <v>47</v>
      </c>
    </row>
    <row r="13" spans="1:18" x14ac:dyDescent="0.25">
      <c r="A13" s="1" t="s">
        <v>8</v>
      </c>
      <c r="B13" s="2">
        <f>SUMIF('RETURNEE DATASET'!B:B,A13,'RETURNEE DATASET'!AE:AE)</f>
        <v>0</v>
      </c>
      <c r="C13" s="2">
        <f>SUMIF('RETURNEE DATASET'!B:B,A13,'RETURNEE DATASET'!AF:AF)</f>
        <v>76202</v>
      </c>
      <c r="D13" s="2">
        <f>SUMIF('RETURNEE DATASET'!B:B,A13,'RETURNEE DATASET'!AG:AG)</f>
        <v>0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488</v>
      </c>
      <c r="J13" s="2">
        <f>SUMIF('RETURNEE DATASET'!B:B,A13,'RETURNEE DATASET'!AM:AM)</f>
        <v>0</v>
      </c>
      <c r="K13" s="2">
        <f>SUMIF('RETURNEE DATASET'!B:B,A13,'RETURNEE DATASET'!AN:AN)</f>
        <v>0</v>
      </c>
      <c r="L13" s="2">
        <f>SUMIF('RETURNEE DATASET'!B:B,A13,'RETURNEE DATASET'!AO:AO)</f>
        <v>0</v>
      </c>
      <c r="M13" s="2">
        <f>SUM(B13:L13)</f>
        <v>76690</v>
      </c>
    </row>
    <row r="14" spans="1:18" s="19" customFormat="1" x14ac:dyDescent="0.25">
      <c r="A14" s="40" t="s">
        <v>10</v>
      </c>
      <c r="B14" s="2">
        <f>SUMIF('RETURNEE DATASET'!B:B,A14,'RETURNEE DATASET'!AE:AE)</f>
        <v>0</v>
      </c>
      <c r="C14" s="2">
        <f>SUMIF('RETURNEE DATASET'!B:B,A14,'RETURNEE DATASET'!AF:AF)</f>
        <v>5239</v>
      </c>
      <c r="D14" s="2">
        <f>SUMIF('RETURNEE DATASET'!B:B,A14,'RETURNEE DATASET'!AG:AG)</f>
        <v>0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0</v>
      </c>
      <c r="J14" s="2">
        <f>SUMIF('RETURNEE DATASET'!B:B,A14,'RETURNEE DATASET'!AM:AM)</f>
        <v>0</v>
      </c>
      <c r="K14" s="2">
        <f>SUMIF('RETURNEE DATASET'!B:B,A14,'RETURNEE DATASET'!AN:AN)</f>
        <v>0</v>
      </c>
      <c r="L14" s="2">
        <f>SUMIF('RETURNEE DATASET'!B:B,A14,'RETURNEE DATASET'!AO:AO)</f>
        <v>0</v>
      </c>
      <c r="M14" s="2">
        <f>SUM(B14:L14)</f>
        <v>5239</v>
      </c>
    </row>
    <row r="15" spans="1:18" x14ac:dyDescent="0.25">
      <c r="A15" s="1" t="s">
        <v>13</v>
      </c>
      <c r="B15" s="2">
        <f>SUMIF('RETURNEE DATASET'!B:B,A15,'RETURNEE DATASET'!AE:AE)</f>
        <v>0</v>
      </c>
      <c r="C15" s="2">
        <f>SUMIF('RETURNEE DATASET'!B:B,A15,'RETURNEE DATASET'!AF:AF)</f>
        <v>20504</v>
      </c>
      <c r="D15" s="2">
        <f>SUMIF('RETURNEE DATASET'!B:B,A15,'RETURNEE DATASET'!AG:AG)</f>
        <v>1812</v>
      </c>
      <c r="E15" s="2">
        <f>SUMIF('RETURNEE DATASET'!B:B,A15,'RETURNEE DATASET'!AH:AH)</f>
        <v>0</v>
      </c>
      <c r="F15" s="2">
        <f>SUMIF('RETURNEE DATASET'!B:B,A15,'RETURNEE DATASET'!AI:AI)</f>
        <v>0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140</v>
      </c>
      <c r="J15" s="2">
        <f>SUMIF('RETURNEE DATASET'!B:B,A15,'RETURNEE DATASET'!AM:AM)</f>
        <v>0</v>
      </c>
      <c r="K15" s="2">
        <f>SUMIF('RETURNEE DATASET'!B:B,A15,'RETURNEE DATASET'!AN:AN)</f>
        <v>6677</v>
      </c>
      <c r="L15" s="2">
        <f>SUMIF('RETURNEE DATASET'!B:B,A15,'RETURNEE DATASET'!AO:AO)</f>
        <v>70</v>
      </c>
      <c r="M15" s="2">
        <f t="shared" ref="M15:M19" si="2">SUM(B15:L15)</f>
        <v>29203</v>
      </c>
    </row>
    <row r="16" spans="1:18" x14ac:dyDescent="0.25">
      <c r="A16" s="1" t="s">
        <v>14</v>
      </c>
      <c r="B16" s="2">
        <f>SUMIF('RETURNEE DATASET'!B:B,A16,'RETURNEE DATASET'!AE:AE)</f>
        <v>0</v>
      </c>
      <c r="C16" s="2">
        <f>SUMIF('RETURNEE DATASET'!B:B,A16,'RETURNEE DATASET'!AF:AF)</f>
        <v>3601</v>
      </c>
      <c r="D16" s="2">
        <f>SUMIF('RETURNEE DATASET'!B:B,A16,'RETURNEE DATASET'!AG:AG)</f>
        <v>0</v>
      </c>
      <c r="E16" s="2">
        <f>SUMIF('RETURNEE DATASET'!B:B,A16,'RETURNEE DATASET'!AH:AH)</f>
        <v>0</v>
      </c>
      <c r="F16" s="2">
        <f>SUMIF('RETURNEE DATASET'!B:B,A16,'RETURNEE DATASET'!AI:AI)</f>
        <v>0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0</v>
      </c>
      <c r="J16" s="2">
        <f>SUMIF('RETURNEE DATASET'!B:B,A16,'RETURNEE DATASET'!AM:AM)</f>
        <v>0</v>
      </c>
      <c r="K16" s="2">
        <f>SUMIF('RETURNEE DATASET'!B:B,A16,'RETURNEE DATASET'!AN:AN)</f>
        <v>0</v>
      </c>
      <c r="L16" s="2">
        <f>SUMIF('RETURNEE DATASET'!B:B,A16,'RETURNEE DATASET'!AO:AO)</f>
        <v>0</v>
      </c>
      <c r="M16" s="2">
        <f t="shared" si="2"/>
        <v>3601</v>
      </c>
    </row>
    <row r="17" spans="1:23" x14ac:dyDescent="0.25">
      <c r="A17" s="1" t="s">
        <v>16</v>
      </c>
      <c r="B17" s="2">
        <f>SUMIF('RETURNEE DATASET'!B:B,A17,'RETURNEE DATASET'!AE:AE)</f>
        <v>0</v>
      </c>
      <c r="C17" s="2">
        <f>SUMIF('RETURNEE DATASET'!B:B,A17,'RETURNEE DATASET'!AF:AF)</f>
        <v>496</v>
      </c>
      <c r="D17" s="2">
        <f>SUMIF('RETURNEE DATASET'!B:B,A17,'RETURNEE DATASET'!AG:AG)</f>
        <v>78</v>
      </c>
      <c r="E17" s="2">
        <f>SUMIF('RETURNEE DATASET'!B:B,A17,'RETURNEE DATASET'!AH:AH)</f>
        <v>0</v>
      </c>
      <c r="F17" s="2">
        <f>SUMIF('RETURNEE DATASET'!B:B,A17,'RETURNEE DATASET'!AI:AI)</f>
        <v>0</v>
      </c>
      <c r="G17" s="2">
        <f>SUMIF('RETURNEE DATASET'!B:B,A17,'RETURNEE DATASET'!AJ:AJ)</f>
        <v>0</v>
      </c>
      <c r="H17" s="2">
        <f>SUMIF('RETURNEE DATASET'!B:B,A17,'RETURNEE DATASET'!AK:AK)</f>
        <v>0</v>
      </c>
      <c r="I17" s="2">
        <f>SUMIF('RETURNEE DATASET'!B:B,A17,'RETURNEE DATASET'!AL:AL)</f>
        <v>0</v>
      </c>
      <c r="J17" s="2">
        <f>SUMIF('RETURNEE DATASET'!B:B,A17,'RETURNEE DATASET'!AM:AM)</f>
        <v>0</v>
      </c>
      <c r="K17" s="2">
        <f>SUMIF('RETURNEE DATASET'!B:B,A17,'RETURNEE DATASET'!AN:AN)</f>
        <v>0</v>
      </c>
      <c r="L17" s="2">
        <f>SUMIF('RETURNEE DATASET'!B:B,A17,'RETURNEE DATASET'!AO:AO)</f>
        <v>0</v>
      </c>
      <c r="M17" s="2">
        <f t="shared" si="2"/>
        <v>574</v>
      </c>
    </row>
    <row r="18" spans="1:23" x14ac:dyDescent="0.25">
      <c r="A18" s="1" t="s">
        <v>20</v>
      </c>
      <c r="B18" s="2">
        <f>SUMIF('RETURNEE DATASET'!B:B,A18,'RETURNEE DATASET'!AE:AE)</f>
        <v>0</v>
      </c>
      <c r="C18" s="2">
        <f>SUMIF('RETURNEE DATASET'!B:B,A18,'RETURNEE DATASET'!AF:AF)</f>
        <v>28542</v>
      </c>
      <c r="D18" s="2">
        <f>SUMIF('RETURNEE DATASET'!B:B,A18,'RETURNEE DATASET'!AG:AG)</f>
        <v>477</v>
      </c>
      <c r="E18" s="2">
        <f>SUMIF('RETURNEE DATASET'!B:B,A18,'RETURNEE DATASET'!AH:AH)</f>
        <v>0</v>
      </c>
      <c r="F18" s="2">
        <f>SUMIF('RETURNEE DATASET'!B:B,A18,'RETURNEE DATASET'!AI:AI)</f>
        <v>30</v>
      </c>
      <c r="G18" s="2">
        <f>SUMIF('RETURNEE DATASET'!B:B,A18,'RETURNEE DATASET'!AJ:AJ)</f>
        <v>40</v>
      </c>
      <c r="H18" s="2">
        <f>SUMIF('RETURNEE DATASET'!B:B,A18,'RETURNEE DATASET'!AK:AK)</f>
        <v>0</v>
      </c>
      <c r="I18" s="2">
        <f>SUMIF('RETURNEE DATASET'!B:B,A18,'RETURNEE DATASET'!AL:AL)</f>
        <v>50</v>
      </c>
      <c r="J18" s="2">
        <f>SUMIF('RETURNEE DATASET'!B:B,A18,'RETURNEE DATASET'!AM:AM)</f>
        <v>0</v>
      </c>
      <c r="K18" s="2">
        <f>SUMIF('RETURNEE DATASET'!B:B,A18,'RETURNEE DATASET'!AN:AN)</f>
        <v>55</v>
      </c>
      <c r="L18" s="2">
        <f>SUMIF('RETURNEE DATASET'!B:B,A18,'RETURNEE DATASET'!AO:AO)</f>
        <v>0</v>
      </c>
      <c r="M18" s="2">
        <f t="shared" si="2"/>
        <v>29194</v>
      </c>
    </row>
    <row r="19" spans="1:23" s="15" customFormat="1" x14ac:dyDescent="0.25">
      <c r="A19" s="18" t="s">
        <v>22</v>
      </c>
      <c r="B19" s="2">
        <f>SUMIF('RETURNEE DATASET'!B:B,A19,'RETURNEE DATASET'!AE:AE)</f>
        <v>0</v>
      </c>
      <c r="C19" s="2">
        <f>SUMIF('RETURNEE DATASET'!B:B,A19,'RETURNEE DATASET'!AF:AF)</f>
        <v>55954</v>
      </c>
      <c r="D19" s="2">
        <f>SUMIF('RETURNEE DATASET'!B:B,A19,'RETURNEE DATASET'!AG:AG)</f>
        <v>540</v>
      </c>
      <c r="E19" s="2">
        <f>SUMIF('RETURNEE DATASET'!B:B,A19,'RETURNEE DATASET'!AH:AH)</f>
        <v>0</v>
      </c>
      <c r="F19" s="2">
        <f>SUMIF('RETURNEE DATASET'!B:B,A19,'RETURNEE DATASET'!AI:AI)</f>
        <v>932</v>
      </c>
      <c r="G19" s="2">
        <f>SUMIF('RETURNEE DATASET'!B:B,A19,'RETURNEE DATASET'!AJ:AJ)</f>
        <v>0</v>
      </c>
      <c r="H19" s="2">
        <f>SUMIF('RETURNEE DATASET'!B:B,A19,'RETURNEE DATASET'!AK:AK)</f>
        <v>7</v>
      </c>
      <c r="I19" s="2">
        <f>SUMIF('RETURNEE DATASET'!B:B,A19,'RETURNEE DATASET'!AL:AL)</f>
        <v>3099</v>
      </c>
      <c r="J19" s="2">
        <f>SUMIF('RETURNEE DATASET'!B:B,A19,'RETURNEE DATASET'!AM:AM)</f>
        <v>0</v>
      </c>
      <c r="K19" s="2">
        <f>SUMIF('RETURNEE DATASET'!B:B,A19,'RETURNEE DATASET'!AN:AN)</f>
        <v>0</v>
      </c>
      <c r="L19" s="2">
        <f>SUMIF('RETURNEE DATASET'!B:B,A19,'RETURNEE DATASET'!AO:AO)</f>
        <v>0</v>
      </c>
      <c r="M19" s="2">
        <f t="shared" si="2"/>
        <v>60532</v>
      </c>
    </row>
    <row r="20" spans="1:23" x14ac:dyDescent="0.25">
      <c r="A20" s="4" t="s">
        <v>48</v>
      </c>
      <c r="B20" s="5">
        <f>SUM(B13:B19)</f>
        <v>0</v>
      </c>
      <c r="C20" s="5">
        <f>SUM(C13:C19)</f>
        <v>190538</v>
      </c>
      <c r="D20" s="5">
        <f t="shared" ref="D20:M20" si="3">SUM(D13:D19)</f>
        <v>2907</v>
      </c>
      <c r="E20" s="5">
        <f t="shared" si="3"/>
        <v>0</v>
      </c>
      <c r="F20" s="5">
        <f t="shared" si="3"/>
        <v>962</v>
      </c>
      <c r="G20" s="5">
        <f t="shared" si="3"/>
        <v>40</v>
      </c>
      <c r="H20" s="5">
        <f t="shared" si="3"/>
        <v>7</v>
      </c>
      <c r="I20" s="5">
        <f t="shared" si="3"/>
        <v>3777</v>
      </c>
      <c r="J20" s="5">
        <f t="shared" si="3"/>
        <v>0</v>
      </c>
      <c r="K20" s="5">
        <f t="shared" si="3"/>
        <v>6732</v>
      </c>
      <c r="L20" s="5">
        <f t="shared" si="3"/>
        <v>70</v>
      </c>
      <c r="M20" s="5">
        <f t="shared" si="3"/>
        <v>205033</v>
      </c>
    </row>
    <row r="21" spans="1:23" ht="18" customHeight="1" x14ac:dyDescent="0.25">
      <c r="O21" s="19"/>
      <c r="P21" s="19"/>
      <c r="Q21" s="19"/>
      <c r="R21" s="19"/>
      <c r="S21" s="19"/>
      <c r="T21" s="19"/>
    </row>
    <row r="22" spans="1:23" ht="15" customHeight="1" x14ac:dyDescent="0.25">
      <c r="A22" s="26" t="s">
        <v>0</v>
      </c>
      <c r="B22" s="51" t="s">
        <v>49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19"/>
      <c r="P22" s="19"/>
      <c r="Q22" s="19"/>
      <c r="R22" s="19"/>
      <c r="S22" s="19"/>
      <c r="T22" s="19"/>
    </row>
    <row r="23" spans="1:23" ht="25.5" x14ac:dyDescent="0.25">
      <c r="A23" s="27" t="s">
        <v>46</v>
      </c>
      <c r="B23" s="29" t="s">
        <v>8</v>
      </c>
      <c r="C23" s="29" t="s">
        <v>9</v>
      </c>
      <c r="D23" s="29" t="s">
        <v>10</v>
      </c>
      <c r="E23" s="47" t="s">
        <v>11</v>
      </c>
      <c r="F23" s="29" t="s">
        <v>12</v>
      </c>
      <c r="G23" s="29" t="s">
        <v>13</v>
      </c>
      <c r="H23" s="29" t="s">
        <v>14</v>
      </c>
      <c r="I23" s="29" t="s">
        <v>15</v>
      </c>
      <c r="J23" s="29" t="s">
        <v>16</v>
      </c>
      <c r="K23" s="47" t="s">
        <v>17</v>
      </c>
      <c r="L23" s="29" t="s">
        <v>19</v>
      </c>
      <c r="M23" s="29" t="s">
        <v>20</v>
      </c>
      <c r="N23" s="29" t="s">
        <v>22</v>
      </c>
      <c r="O23" s="29" t="s">
        <v>23</v>
      </c>
      <c r="P23" s="47" t="s">
        <v>25</v>
      </c>
      <c r="Q23" s="29" t="s">
        <v>47</v>
      </c>
      <c r="R23" s="19"/>
      <c r="S23" s="19"/>
      <c r="T23" s="19"/>
      <c r="U23" s="19"/>
      <c r="V23" s="19"/>
      <c r="W23" s="19"/>
    </row>
    <row r="24" spans="1:23" x14ac:dyDescent="0.25">
      <c r="A24" s="1" t="s">
        <v>8</v>
      </c>
      <c r="B24" s="28">
        <f>SUMIF('RETURNEE DATASET'!B:B,A24,'RETURNEE DATASET'!M:M)</f>
        <v>57763</v>
      </c>
      <c r="C24" s="28">
        <f>SUMIF('RETURNEE DATASET'!B:B,A24,'RETURNEE DATASET'!N:N)</f>
        <v>474</v>
      </c>
      <c r="D24" s="28">
        <f>SUMIF('RETURNEE DATASET'!B:B,A24,'RETURNEE DATASET'!O:O)</f>
        <v>6802</v>
      </c>
      <c r="E24" s="28">
        <f>SUMIF('RETURNEE DATASET'!B:B,A24,'RETURNEE DATASET'!P:P)</f>
        <v>0</v>
      </c>
      <c r="F24" s="28">
        <f>SUMIF('RETURNEE DATASET'!B:B,A24,'RETURNEE DATASET'!Q:Q)</f>
        <v>0</v>
      </c>
      <c r="G24" s="28">
        <f>SUMIF('RETURNEE DATASET'!B:B,A24,'RETURNEE DATASET'!R:R)</f>
        <v>0</v>
      </c>
      <c r="H24" s="28">
        <f>SUMIF('RETURNEE DATASET'!B:B,A24,'RETURNEE DATASET'!S:S)</f>
        <v>6175</v>
      </c>
      <c r="I24" s="28">
        <f>SUMIF('RETURNEE DATASET'!B:B,A24,'RETURNEE DATASET'!T:T)</f>
        <v>0</v>
      </c>
      <c r="J24" s="28">
        <f>SUMIF('RETURNEE DATASET'!B:B,A24,'RETURNEE DATASET'!U:U)</f>
        <v>3078</v>
      </c>
      <c r="K24" s="28">
        <f>SUMIF('RETURNEE DATASET'!B:B,A24,'RETURNEE DATASET'!V:V)</f>
        <v>0</v>
      </c>
      <c r="L24" s="28">
        <f>SUMIF('RETURNEE DATASET'!B:B,A24,'RETURNEE DATASET'!X:X)</f>
        <v>0</v>
      </c>
      <c r="M24" s="28">
        <f>SUMIF('RETURNEE DATASET'!B:B,A24,'RETURNEE DATASET'!Y:Y)</f>
        <v>0</v>
      </c>
      <c r="N24" s="28">
        <f>SUMIF('RETURNEE DATASET'!B:B,A24,'RETURNEE DATASET'!AA:AA)</f>
        <v>90</v>
      </c>
      <c r="O24" s="28">
        <f>SUMIF('RETURNEE DATASET'!B:B,A24,'RETURNEE DATASET'!AB:AB)</f>
        <v>2308</v>
      </c>
      <c r="P24" s="28">
        <f>SUMIF('RETURNEE DATASET'!B:B,A24,'RETURNEE DATASET'!AD:AD)</f>
        <v>0</v>
      </c>
      <c r="Q24" s="28">
        <f t="shared" ref="Q24:Q30" si="4">SUM(B24:P24)</f>
        <v>76690</v>
      </c>
    </row>
    <row r="25" spans="1:23" s="19" customFormat="1" x14ac:dyDescent="0.25">
      <c r="A25" s="40" t="s">
        <v>10</v>
      </c>
      <c r="B25" s="28">
        <f>SUMIF('RETURNEE DATASET'!B:B,A25,'RETURNEE DATASET'!M:M)</f>
        <v>0</v>
      </c>
      <c r="C25" s="28">
        <f>SUMIF('RETURNEE DATASET'!B:B,A25,'RETURNEE DATASET'!N:N)</f>
        <v>192</v>
      </c>
      <c r="D25" s="28">
        <f>SUMIF('RETURNEE DATASET'!B:B,A25,'RETURNEE DATASET'!O:O)</f>
        <v>4543</v>
      </c>
      <c r="E25" s="28">
        <f>SUMIF('RETURNEE DATASET'!B:B,A25,'RETURNEE DATASET'!P:P)</f>
        <v>0</v>
      </c>
      <c r="F25" s="28">
        <f>SUMIF('RETURNEE DATASET'!B:B,A25,'RETURNEE DATASET'!Q:Q)</f>
        <v>0</v>
      </c>
      <c r="G25" s="28">
        <f>SUMIF('RETURNEE DATASET'!B:B,A25,'RETURNEE DATASET'!R:R)</f>
        <v>0</v>
      </c>
      <c r="H25" s="28">
        <f>SUMIF('RETURNEE DATASET'!B:B,A25,'RETURNEE DATASET'!S:S)</f>
        <v>400</v>
      </c>
      <c r="I25" s="28">
        <f>SUMIF('RETURNEE DATASET'!B:B,A25,'RETURNEE DATASET'!T:T)</f>
        <v>8</v>
      </c>
      <c r="J25" s="28">
        <f>SUMIF('RETURNEE DATASET'!B:B,A25,'RETURNEE DATASET'!U:U)</f>
        <v>0</v>
      </c>
      <c r="K25" s="28">
        <f>SUMIF('RETURNEE DATASET'!B:B,A25,'RETURNEE DATASET'!V:V)</f>
        <v>20</v>
      </c>
      <c r="L25" s="28">
        <f>SUMIF('RETURNEE DATASET'!B:B,A25,'RETURNEE DATASET'!X:X)</f>
        <v>0</v>
      </c>
      <c r="M25" s="28">
        <f>SUMIF('RETURNEE DATASET'!B:B,A25,'RETURNEE DATASET'!Y:Y)</f>
        <v>0</v>
      </c>
      <c r="N25" s="28">
        <f>SUMIF('RETURNEE DATASET'!B:B,A25,'RETURNEE DATASET'!AA:AA)</f>
        <v>0</v>
      </c>
      <c r="O25" s="28">
        <f>SUMIF('RETURNEE DATASET'!B:B,A25,'RETURNEE DATASET'!AB:AB)</f>
        <v>76</v>
      </c>
      <c r="P25" s="28">
        <f>SUMIF('RETURNEE DATASET'!B:B,A25,'RETURNEE DATASET'!AD:AD)</f>
        <v>0</v>
      </c>
      <c r="Q25" s="28">
        <f t="shared" si="4"/>
        <v>5239</v>
      </c>
    </row>
    <row r="26" spans="1:23" x14ac:dyDescent="0.25">
      <c r="A26" s="1" t="s">
        <v>13</v>
      </c>
      <c r="B26" s="2">
        <f>SUMIF('RETURNEE DATASET'!B:B,A26,'RETURNEE DATASET'!M:M)</f>
        <v>55</v>
      </c>
      <c r="C26" s="2">
        <f>SUMIF('RETURNEE DATASET'!B:B,A26,'RETURNEE DATASET'!N:N)</f>
        <v>0</v>
      </c>
      <c r="D26" s="2">
        <f>SUMIF('RETURNEE DATASET'!B:B,A26,'RETURNEE DATASET'!O:O)</f>
        <v>0</v>
      </c>
      <c r="E26" s="28">
        <f>SUMIF('RETURNEE DATASET'!B:B,A26,'RETURNEE DATASET'!P:P)</f>
        <v>0</v>
      </c>
      <c r="F26" s="2">
        <f>SUMIF('RETURNEE DATASET'!B:B,A26,'RETURNEE DATASET'!Q:Q)</f>
        <v>113</v>
      </c>
      <c r="G26" s="2">
        <f>SUMIF('RETURNEE DATASET'!B:B,A26,'RETURNEE DATASET'!R:R)</f>
        <v>23695</v>
      </c>
      <c r="H26" s="2">
        <f>SUMIF('RETURNEE DATASET'!B:B,A26,'RETURNEE DATASET'!S:S)</f>
        <v>66</v>
      </c>
      <c r="I26" s="2">
        <f>SUMIF('RETURNEE DATASET'!B:B,A26,'RETURNEE DATASET'!T:T)</f>
        <v>10</v>
      </c>
      <c r="J26" s="2">
        <f>SUMIF('RETURNEE DATASET'!B:B,A26,'RETURNEE DATASET'!U:U)</f>
        <v>3624</v>
      </c>
      <c r="K26" s="28">
        <f>SUMIF('RETURNEE DATASET'!B:B,A26,'RETURNEE DATASET'!V:V)</f>
        <v>0</v>
      </c>
      <c r="L26" s="2">
        <f>SUMIF('RETURNEE DATASET'!B:B,A26,'RETURNEE DATASET'!X:X)</f>
        <v>0</v>
      </c>
      <c r="M26" s="2">
        <f>SUMIF('RETURNEE DATASET'!B:B,A26,'RETURNEE DATASET'!Y:Y)</f>
        <v>0</v>
      </c>
      <c r="N26" s="2">
        <f>SUMIF('RETURNEE DATASET'!B:B,A26,'RETURNEE DATASET'!AA:AA)</f>
        <v>0</v>
      </c>
      <c r="O26" s="2">
        <f>SUMIF('RETURNEE DATASET'!B:B,A26,'RETURNEE DATASET'!AB:AB)</f>
        <v>1640</v>
      </c>
      <c r="P26" s="28">
        <f>SUMIF('RETURNEE DATASET'!B:B,A26,'RETURNEE DATASET'!AD:AD)</f>
        <v>0</v>
      </c>
      <c r="Q26" s="2">
        <f t="shared" si="4"/>
        <v>29203</v>
      </c>
    </row>
    <row r="27" spans="1:23" x14ac:dyDescent="0.25">
      <c r="A27" s="1" t="s">
        <v>14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8">
        <f>SUMIF('RETURNEE DATASET'!B:B,A27,'RETURNEE DATASET'!P:P)</f>
        <v>0</v>
      </c>
      <c r="F27" s="2">
        <f>SUMIF('RETURNEE DATASET'!B:B,A27,'RETURNEE DATASET'!Q:Q)</f>
        <v>0</v>
      </c>
      <c r="G27" s="2">
        <f>SUMIF('RETURNEE DATASET'!B:B,A27,'RETURNEE DATASET'!R:R)</f>
        <v>0</v>
      </c>
      <c r="H27" s="2">
        <f>SUMIF('RETURNEE DATASET'!B:B,A27,'RETURNEE DATASET'!S:S)</f>
        <v>3601</v>
      </c>
      <c r="I27" s="2">
        <f>SUMIF('RETURNEE DATASET'!B:B,A27,'RETURNEE DATASET'!T:T)</f>
        <v>0</v>
      </c>
      <c r="J27" s="2">
        <f>SUMIF('RETURNEE DATASET'!B:B,A27,'RETURNEE DATASET'!U:U)</f>
        <v>0</v>
      </c>
      <c r="K27" s="28">
        <f>SUMIF('RETURNEE DATASET'!B:B,A27,'RETURNEE DATASET'!V:V)</f>
        <v>0</v>
      </c>
      <c r="L27" s="2">
        <f>SUMIF('RETURNEE DATASET'!B:B,A27,'RETURNEE DATASET'!X:X)</f>
        <v>0</v>
      </c>
      <c r="M27" s="2">
        <f>SUMIF('RETURNEE DATASET'!B:B,A27,'RETURNEE DATASET'!Y:Y)</f>
        <v>0</v>
      </c>
      <c r="N27" s="2">
        <f>SUMIF('RETURNEE DATASET'!B:B,A27,'RETURNEE DATASET'!AA:AA)</f>
        <v>0</v>
      </c>
      <c r="O27" s="2">
        <f>SUMIF('RETURNEE DATASET'!B:B,A27,'RETURNEE DATASET'!AB:AB)</f>
        <v>0</v>
      </c>
      <c r="P27" s="28">
        <f>SUMIF('RETURNEE DATASET'!B:B,A27,'RETURNEE DATASET'!AD:AD)</f>
        <v>0</v>
      </c>
      <c r="Q27" s="2">
        <f t="shared" si="4"/>
        <v>3601</v>
      </c>
    </row>
    <row r="28" spans="1:23" x14ac:dyDescent="0.25">
      <c r="A28" s="1" t="s">
        <v>16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0</v>
      </c>
      <c r="E28" s="28">
        <f>SUMIF('RETURNEE DATASET'!B:B,A28,'RETURNEE DATASET'!P:P)</f>
        <v>0</v>
      </c>
      <c r="F28" s="2">
        <f>SUMIF('RETURNEE DATASET'!B:B,A28,'RETURNEE DATASET'!Q:Q)</f>
        <v>0</v>
      </c>
      <c r="G28" s="2">
        <f>SUMIF('RETURNEE DATASET'!B:B,A28,'RETURNEE DATASET'!R:R)</f>
        <v>0</v>
      </c>
      <c r="H28" s="2">
        <f>SUMIF('RETURNEE DATASET'!B:B,A28,'RETURNEE DATASET'!S:S)</f>
        <v>0</v>
      </c>
      <c r="I28" s="2">
        <f>SUMIF('RETURNEE DATASET'!B:B,A28,'RETURNEE DATASET'!T:T)</f>
        <v>0</v>
      </c>
      <c r="J28" s="2">
        <f>SUMIF('RETURNEE DATASET'!B:B,A28,'RETURNEE DATASET'!U:U)</f>
        <v>574</v>
      </c>
      <c r="K28" s="28">
        <f>SUMIF('RETURNEE DATASET'!B:B,A28,'RETURNEE DATASET'!V:V)</f>
        <v>0</v>
      </c>
      <c r="L28" s="2">
        <f>SUMIF('RETURNEE DATASET'!B:B,A28,'RETURNEE DATASET'!X:X)</f>
        <v>0</v>
      </c>
      <c r="M28" s="2">
        <f>SUMIF('RETURNEE DATASET'!B:B,A28,'RETURNEE DATASET'!Y:Y)</f>
        <v>0</v>
      </c>
      <c r="N28" s="2">
        <f>SUMIF('RETURNEE DATASET'!B:B,A28,'RETURNEE DATASET'!AA:AA)</f>
        <v>0</v>
      </c>
      <c r="O28" s="2">
        <f>SUMIF('RETURNEE DATASET'!B:B,A28,'RETURNEE DATASET'!AB:AB)</f>
        <v>0</v>
      </c>
      <c r="P28" s="28">
        <f>SUMIF('RETURNEE DATASET'!B:B,A28,'RETURNEE DATASET'!AD:AD)</f>
        <v>0</v>
      </c>
      <c r="Q28" s="2">
        <f t="shared" si="4"/>
        <v>574</v>
      </c>
    </row>
    <row r="29" spans="1:23" x14ac:dyDescent="0.25">
      <c r="A29" s="1" t="s">
        <v>20</v>
      </c>
      <c r="B29" s="2">
        <f>SUMIF('RETURNEE DATASET'!B:B,A29,'RETURNEE DATASET'!M:M)</f>
        <v>0</v>
      </c>
      <c r="C29" s="2">
        <f>SUMIF('RETURNEE DATASET'!B:B,A29,'RETURNEE DATASET'!N:N)</f>
        <v>0</v>
      </c>
      <c r="D29" s="2">
        <f>SUMIF('RETURNEE DATASET'!B:B,A29,'RETURNEE DATASET'!O:O)</f>
        <v>0</v>
      </c>
      <c r="E29" s="28">
        <f>SUMIF('RETURNEE DATASET'!B:B,A29,'RETURNEE DATASET'!P:P)</f>
        <v>0</v>
      </c>
      <c r="F29" s="2">
        <f>SUMIF('RETURNEE DATASET'!B:B,A29,'RETURNEE DATASET'!Q:Q)</f>
        <v>14195</v>
      </c>
      <c r="G29" s="2">
        <f>SUMIF('RETURNEE DATASET'!B:B,A29,'RETURNEE DATASET'!R:R)</f>
        <v>0</v>
      </c>
      <c r="H29" s="2">
        <f>SUMIF('RETURNEE DATASET'!B:B,A29,'RETURNEE DATASET'!S:S)</f>
        <v>4735</v>
      </c>
      <c r="I29" s="2">
        <f>SUMIF('RETURNEE DATASET'!B:B,A29,'RETURNEE DATASET'!T:T)</f>
        <v>0</v>
      </c>
      <c r="J29" s="2">
        <f>SUMIF('RETURNEE DATASET'!B:B,A29,'RETURNEE DATASET'!U:U)</f>
        <v>374</v>
      </c>
      <c r="K29" s="28">
        <f>SUMIF('RETURNEE DATASET'!B:B,A29,'RETURNEE DATASET'!V:V)</f>
        <v>0</v>
      </c>
      <c r="L29" s="2">
        <f>SUMIF('RETURNEE DATASET'!B:B,A29,'RETURNEE DATASET'!X:X)</f>
        <v>0</v>
      </c>
      <c r="M29" s="2">
        <f>SUMIF('RETURNEE DATASET'!B:B,A29,'RETURNEE DATASET'!Y:Y)</f>
        <v>9880</v>
      </c>
      <c r="N29" s="2">
        <f>SUMIF('RETURNEE DATASET'!B:B,A29,'RETURNEE DATASET'!AA:AA)</f>
        <v>0</v>
      </c>
      <c r="O29" s="2">
        <f>SUMIF('RETURNEE DATASET'!B:B,A29,'RETURNEE DATASET'!AB:AB)</f>
        <v>10</v>
      </c>
      <c r="P29" s="28">
        <f>SUMIF('RETURNEE DATASET'!B:B,A29,'RETURNEE DATASET'!AD:AD)</f>
        <v>0</v>
      </c>
      <c r="Q29" s="2">
        <f t="shared" si="4"/>
        <v>29194</v>
      </c>
    </row>
    <row r="30" spans="1:23" s="15" customFormat="1" x14ac:dyDescent="0.25">
      <c r="A30" s="16" t="s">
        <v>22</v>
      </c>
      <c r="B30" s="2">
        <f>SUMIF('RETURNEE DATASET'!B:B,A30,'RETURNEE DATASET'!M:M)</f>
        <v>0</v>
      </c>
      <c r="C30" s="2">
        <f>SUMIF('RETURNEE DATASET'!B:B,A30,'RETURNEE DATASET'!N:N)</f>
        <v>0</v>
      </c>
      <c r="D30" s="2">
        <f>SUMIF('RETURNEE DATASET'!B:B,A30,'RETURNEE DATASET'!O:O)</f>
        <v>3404</v>
      </c>
      <c r="E30" s="28">
        <f>SUMIF('RETURNEE DATASET'!B:B,A30,'RETURNEE DATASET'!P:P)</f>
        <v>89</v>
      </c>
      <c r="F30" s="2">
        <f>SUMIF('RETURNEE DATASET'!B:B,A30,'RETURNEE DATASET'!Q:Q)</f>
        <v>389</v>
      </c>
      <c r="G30" s="2">
        <f>SUMIF('RETURNEE DATASET'!B:B,A30,'RETURNEE DATASET'!R:R)</f>
        <v>2</v>
      </c>
      <c r="H30" s="2">
        <f>SUMIF('RETURNEE DATASET'!B:B,A30,'RETURNEE DATASET'!S:S)</f>
        <v>10443</v>
      </c>
      <c r="I30" s="2">
        <f>SUMIF('RETURNEE DATASET'!B:B,A30,'RETURNEE DATASET'!T:T)</f>
        <v>247</v>
      </c>
      <c r="J30" s="2">
        <f>SUMIF('RETURNEE DATASET'!B:B,A30,'RETURNEE DATASET'!U:U)</f>
        <v>20660</v>
      </c>
      <c r="K30" s="28">
        <f>SUMIF('RETURNEE DATASET'!B:B,A30,'RETURNEE DATASET'!V:V)</f>
        <v>0</v>
      </c>
      <c r="L30" s="2">
        <f>SUMIF('RETURNEE DATASET'!B:B,A30,'RETURNEE DATASET'!X:X)</f>
        <v>142</v>
      </c>
      <c r="M30" s="2">
        <f>SUMIF('RETURNEE DATASET'!B:B,A30,'RETURNEE DATASET'!Y:Y)</f>
        <v>0</v>
      </c>
      <c r="N30" s="2">
        <f>SUMIF('RETURNEE DATASET'!B:B,A30,'RETURNEE DATASET'!AA:AA)</f>
        <v>22308</v>
      </c>
      <c r="O30" s="2">
        <f>SUMIF('RETURNEE DATASET'!B:B,A30,'RETURNEE DATASET'!AB:AB)</f>
        <v>2846</v>
      </c>
      <c r="P30" s="28">
        <f>SUMIF('RETURNEE DATASET'!B:B,A30,'RETURNEE DATASET'!AD:AD)</f>
        <v>2</v>
      </c>
      <c r="Q30" s="2">
        <f t="shared" si="4"/>
        <v>60532</v>
      </c>
    </row>
    <row r="31" spans="1:23" x14ac:dyDescent="0.25">
      <c r="A31" s="6" t="s">
        <v>48</v>
      </c>
      <c r="B31" s="7">
        <f>SUM(B24:B30)</f>
        <v>57818</v>
      </c>
      <c r="C31" s="7">
        <f t="shared" ref="C31:P31" si="5">SUM(C24:C30)</f>
        <v>666</v>
      </c>
      <c r="D31" s="7">
        <f t="shared" si="5"/>
        <v>14749</v>
      </c>
      <c r="E31" s="7">
        <f t="shared" si="5"/>
        <v>89</v>
      </c>
      <c r="F31" s="7">
        <f t="shared" si="5"/>
        <v>14697</v>
      </c>
      <c r="G31" s="7">
        <f t="shared" si="5"/>
        <v>23697</v>
      </c>
      <c r="H31" s="7">
        <f t="shared" si="5"/>
        <v>25420</v>
      </c>
      <c r="I31" s="7">
        <f t="shared" si="5"/>
        <v>265</v>
      </c>
      <c r="J31" s="7">
        <f t="shared" si="5"/>
        <v>28310</v>
      </c>
      <c r="K31" s="7">
        <f t="shared" si="5"/>
        <v>20</v>
      </c>
      <c r="L31" s="7">
        <f t="shared" si="5"/>
        <v>142</v>
      </c>
      <c r="M31" s="7">
        <f t="shared" si="5"/>
        <v>9880</v>
      </c>
      <c r="N31" s="7">
        <f t="shared" si="5"/>
        <v>22398</v>
      </c>
      <c r="O31" s="7">
        <f t="shared" si="5"/>
        <v>6880</v>
      </c>
      <c r="P31" s="7">
        <f t="shared" si="5"/>
        <v>2</v>
      </c>
      <c r="Q31" s="7">
        <f>SUM(Q24:Q30)</f>
        <v>205033</v>
      </c>
    </row>
    <row r="32" spans="1:23" ht="18" customHeight="1" x14ac:dyDescent="0.25"/>
    <row r="33" spans="1:9" ht="15" customHeight="1" x14ac:dyDescent="0.25">
      <c r="A33" s="26" t="s">
        <v>0</v>
      </c>
      <c r="B33" s="51" t="s">
        <v>3</v>
      </c>
      <c r="C33" s="51"/>
      <c r="D33" s="51"/>
      <c r="E33" s="51"/>
      <c r="F33" s="51"/>
      <c r="G33" s="51"/>
    </row>
    <row r="34" spans="1:9" ht="25.5" x14ac:dyDescent="0.25">
      <c r="A34" s="27" t="s">
        <v>46</v>
      </c>
      <c r="B34" s="29" t="s">
        <v>50</v>
      </c>
      <c r="C34" s="29" t="s">
        <v>51</v>
      </c>
      <c r="D34" s="29" t="s">
        <v>52</v>
      </c>
      <c r="E34" s="29" t="s">
        <v>53</v>
      </c>
      <c r="F34" s="29" t="s">
        <v>54</v>
      </c>
      <c r="G34" s="42" t="s">
        <v>77</v>
      </c>
      <c r="H34" s="43" t="s">
        <v>1289</v>
      </c>
      <c r="I34" s="29" t="s">
        <v>47</v>
      </c>
    </row>
    <row r="35" spans="1:9" x14ac:dyDescent="0.25">
      <c r="A35" s="1" t="s">
        <v>8</v>
      </c>
      <c r="B35" s="28">
        <f>SUMIF('RETURNEE DATASET'!B:B,A35,'RETURNEE DATASET'!AP:AP)</f>
        <v>17671</v>
      </c>
      <c r="C35" s="28">
        <f>SUMIF('RETURNEE DATASET'!B:B,A35,'RETURNEE DATASET'!AQ:AQ)</f>
        <v>4268</v>
      </c>
      <c r="D35" s="28">
        <f>SUMIF('RETURNEE DATASET'!B:B,A35,'RETURNEE DATASET'!AR:AR)</f>
        <v>0</v>
      </c>
      <c r="E35" s="28">
        <f>SUMIF('RETURNEE DATASET'!B:B,A35,'RETURNEE DATASET'!AS:AS)</f>
        <v>12962</v>
      </c>
      <c r="F35" s="28">
        <f>SUMIF('RETURNEE DATASET'!B:B,A35,'RETURNEE DATASET'!AT:AT)</f>
        <v>25162</v>
      </c>
      <c r="G35" s="28">
        <f>SUMIF('RETURNEE DATASET'!B:B,A35,'RETURNEE DATASET'!AU:AU)</f>
        <v>16627</v>
      </c>
      <c r="H35" s="28">
        <f>SUMIF('RETURNEE DATASET'!B:B,A35,'RETURNEE DATASET'!AV:AV)</f>
        <v>0</v>
      </c>
      <c r="I35" s="28">
        <f t="shared" ref="I35:I41" si="6">SUM(B35:H35)</f>
        <v>76690</v>
      </c>
    </row>
    <row r="36" spans="1:9" s="19" customFormat="1" x14ac:dyDescent="0.25">
      <c r="A36" s="40" t="s">
        <v>10</v>
      </c>
      <c r="B36" s="28">
        <f>SUMIF('RETURNEE DATASET'!B:B,A36,'RETURNEE DATASET'!AP:AP)</f>
        <v>0</v>
      </c>
      <c r="C36" s="28">
        <f>SUMIF('RETURNEE DATASET'!B:B,A36,'RETURNEE DATASET'!AQ:AQ)</f>
        <v>0</v>
      </c>
      <c r="D36" s="28">
        <f>SUMIF('RETURNEE DATASET'!B:B,A36,'RETURNEE DATASET'!AR:AR)</f>
        <v>1789</v>
      </c>
      <c r="E36" s="28">
        <f>SUMIF('RETURNEE DATASET'!B:B,A36,'RETURNEE DATASET'!AS:AS)</f>
        <v>3450</v>
      </c>
      <c r="F36" s="28">
        <f>SUMIF('RETURNEE DATASET'!B:B,A36,'RETURNEE DATASET'!AT:AT)</f>
        <v>0</v>
      </c>
      <c r="G36" s="28">
        <f>SUMIF('RETURNEE DATASET'!B:B,A36,'RETURNEE DATASET'!AU:AU)</f>
        <v>0</v>
      </c>
      <c r="H36" s="28">
        <f>SUMIF('RETURNEE DATASET'!B:B,A36,'RETURNEE DATASET'!AV:AV)</f>
        <v>0</v>
      </c>
      <c r="I36" s="28">
        <f t="shared" si="6"/>
        <v>5239</v>
      </c>
    </row>
    <row r="37" spans="1:9" x14ac:dyDescent="0.25">
      <c r="A37" s="1" t="s">
        <v>13</v>
      </c>
      <c r="B37" s="2">
        <f>SUMIF('RETURNEE DATASET'!B:B,A37,'RETURNEE DATASET'!AP:AP)</f>
        <v>0</v>
      </c>
      <c r="C37" s="2">
        <f>SUMIF('RETURNEE DATASET'!B:B,A37,'RETURNEE DATASET'!AQ:AQ)</f>
        <v>18540</v>
      </c>
      <c r="D37" s="2">
        <f>SUMIF('RETURNEE DATASET'!B:B,A37,'RETURNEE DATASET'!AR:AR)</f>
        <v>1233</v>
      </c>
      <c r="E37" s="2">
        <f>SUMIF('RETURNEE DATASET'!B:B,A37,'RETURNEE DATASET'!AS:AS)</f>
        <v>9430</v>
      </c>
      <c r="F37" s="2">
        <f>SUMIF('RETURNEE DATASET'!B:B,A37,'RETURNEE DATASET'!AT:AT)</f>
        <v>0</v>
      </c>
      <c r="G37" s="28">
        <f>SUMIF('RETURNEE DATASET'!B:B,A37,'RETURNEE DATASET'!AU:AU)</f>
        <v>0</v>
      </c>
      <c r="H37" s="28">
        <f>SUMIF('RETURNEE DATASET'!B:B,A37,'RETURNEE DATASET'!AV:AV)</f>
        <v>0</v>
      </c>
      <c r="I37" s="28">
        <f t="shared" si="6"/>
        <v>29203</v>
      </c>
    </row>
    <row r="38" spans="1:9" x14ac:dyDescent="0.25">
      <c r="A38" s="1" t="s">
        <v>14</v>
      </c>
      <c r="B38" s="2">
        <f>SUMIF('RETURNEE DATASET'!B:B,A38,'RETURNEE DATASET'!AP:AP)</f>
        <v>0</v>
      </c>
      <c r="C38" s="2">
        <f>SUMIF('RETURNEE DATASET'!B:B,A38,'RETURNEE DATASET'!AQ:AQ)</f>
        <v>0</v>
      </c>
      <c r="D38" s="2">
        <f>SUMIF('RETURNEE DATASET'!B:B,A38,'RETURNEE DATASET'!AR:AR)</f>
        <v>3601</v>
      </c>
      <c r="E38" s="2">
        <f>SUMIF('RETURNEE DATASET'!B:B,A38,'RETURNEE DATASET'!AS:AS)</f>
        <v>0</v>
      </c>
      <c r="F38" s="2">
        <f>SUMIF('RETURNEE DATASET'!B:B,A38,'RETURNEE DATASET'!AT:AT)</f>
        <v>0</v>
      </c>
      <c r="G38" s="28">
        <f>SUMIF('RETURNEE DATASET'!B:B,A38,'RETURNEE DATASET'!AU:AU)</f>
        <v>0</v>
      </c>
      <c r="H38" s="28">
        <f>SUMIF('RETURNEE DATASET'!B:B,A38,'RETURNEE DATASET'!AV:AV)</f>
        <v>0</v>
      </c>
      <c r="I38" s="28">
        <f t="shared" si="6"/>
        <v>3601</v>
      </c>
    </row>
    <row r="39" spans="1:9" x14ac:dyDescent="0.25">
      <c r="A39" s="1" t="s">
        <v>16</v>
      </c>
      <c r="B39" s="2">
        <f>SUMIF('RETURNEE DATASET'!B:B,A39,'RETURNEE DATASET'!AP:AP)</f>
        <v>0</v>
      </c>
      <c r="C39" s="2">
        <f>SUMIF('RETURNEE DATASET'!B:B,A39,'RETURNEE DATASET'!AQ:AQ)</f>
        <v>80</v>
      </c>
      <c r="D39" s="2">
        <f>SUMIF('RETURNEE DATASET'!B:B,A39,'RETURNEE DATASET'!AR:AR)</f>
        <v>0</v>
      </c>
      <c r="E39" s="2">
        <f>SUMIF('RETURNEE DATASET'!B:B,A39,'RETURNEE DATASET'!AS:AS)</f>
        <v>494</v>
      </c>
      <c r="F39" s="2">
        <f>SUMIF('RETURNEE DATASET'!B:B,A39,'RETURNEE DATASET'!AT:AT)</f>
        <v>0</v>
      </c>
      <c r="G39" s="28">
        <f>SUMIF('RETURNEE DATASET'!B:B,A39,'RETURNEE DATASET'!AU:AU)</f>
        <v>0</v>
      </c>
      <c r="H39" s="28">
        <f>SUMIF('RETURNEE DATASET'!B:B,A39,'RETURNEE DATASET'!AV:AV)</f>
        <v>0</v>
      </c>
      <c r="I39" s="28">
        <f t="shared" si="6"/>
        <v>574</v>
      </c>
    </row>
    <row r="40" spans="1:9" x14ac:dyDescent="0.25">
      <c r="A40" s="1" t="s">
        <v>20</v>
      </c>
      <c r="B40" s="2">
        <f>SUMIF('RETURNEE DATASET'!B:B,A40,'RETURNEE DATASET'!AP:AP)</f>
        <v>0</v>
      </c>
      <c r="C40" s="2">
        <f>SUMIF('RETURNEE DATASET'!B:B,A40,'RETURNEE DATASET'!AQ:AQ)</f>
        <v>0</v>
      </c>
      <c r="D40" s="2">
        <f>SUMIF('RETURNEE DATASET'!B:B,A40,'RETURNEE DATASET'!AR:AR)</f>
        <v>22898</v>
      </c>
      <c r="E40" s="2">
        <f>SUMIF('RETURNEE DATASET'!B:B,A40,'RETURNEE DATASET'!AS:AS)</f>
        <v>0</v>
      </c>
      <c r="F40" s="2">
        <f>SUMIF('RETURNEE DATASET'!B:B,A40,'RETURNEE DATASET'!AT:AT)</f>
        <v>0</v>
      </c>
      <c r="G40" s="28">
        <f>SUMIF('RETURNEE DATASET'!B:B,A40,'RETURNEE DATASET'!AU:AU)</f>
        <v>5110</v>
      </c>
      <c r="H40" s="28">
        <f>SUMIF('RETURNEE DATASET'!B:B,A40,'RETURNEE DATASET'!AV:AV)</f>
        <v>1186</v>
      </c>
      <c r="I40" s="28">
        <f t="shared" si="6"/>
        <v>29194</v>
      </c>
    </row>
    <row r="41" spans="1:9" s="15" customFormat="1" x14ac:dyDescent="0.25">
      <c r="A41" s="16" t="s">
        <v>22</v>
      </c>
      <c r="B41" s="2">
        <f>SUMIF('RETURNEE DATASET'!B:B,A41,'RETURNEE DATASET'!AP:AP)</f>
        <v>5638</v>
      </c>
      <c r="C41" s="2">
        <f>SUMIF('RETURNEE DATASET'!B:B,A41,'RETURNEE DATASET'!AQ:AQ)</f>
        <v>30483</v>
      </c>
      <c r="D41" s="2">
        <f>SUMIF('RETURNEE DATASET'!B:B,A41,'RETURNEE DATASET'!AR:AR)</f>
        <v>12110</v>
      </c>
      <c r="E41" s="2">
        <f>SUMIF('RETURNEE DATASET'!B:B,A41,'RETURNEE DATASET'!AS:AS)</f>
        <v>8123</v>
      </c>
      <c r="F41" s="2">
        <f>SUMIF('RETURNEE DATASET'!B:B,A41,'RETURNEE DATASET'!AT:AT)</f>
        <v>651</v>
      </c>
      <c r="G41" s="28">
        <f>SUMIF('RETURNEE DATASET'!B:B,A41,'RETURNEE DATASET'!AU:AU)</f>
        <v>3406</v>
      </c>
      <c r="H41" s="28">
        <f>SUMIF('RETURNEE DATASET'!B:B,A41,'RETURNEE DATASET'!AV:AV)</f>
        <v>121</v>
      </c>
      <c r="I41" s="28">
        <f t="shared" si="6"/>
        <v>60532</v>
      </c>
    </row>
    <row r="42" spans="1:9" x14ac:dyDescent="0.25">
      <c r="A42" s="6" t="s">
        <v>48</v>
      </c>
      <c r="B42" s="7">
        <f>SUM(B35:B41)</f>
        <v>23309</v>
      </c>
      <c r="C42" s="7">
        <f t="shared" ref="C42:F42" si="7">SUM(C35:C41)</f>
        <v>53371</v>
      </c>
      <c r="D42" s="7">
        <f t="shared" si="7"/>
        <v>41631</v>
      </c>
      <c r="E42" s="7">
        <f t="shared" si="7"/>
        <v>34459</v>
      </c>
      <c r="F42" s="7">
        <f t="shared" si="7"/>
        <v>25813</v>
      </c>
      <c r="G42" s="7">
        <f t="shared" ref="G42:H42" si="8">SUM(G35:G41)</f>
        <v>25143</v>
      </c>
      <c r="H42" s="7">
        <f t="shared" si="8"/>
        <v>1307</v>
      </c>
      <c r="I42" s="7">
        <f>SUM(I35:I41)</f>
        <v>205033</v>
      </c>
    </row>
    <row r="43" spans="1:9" ht="18" customHeight="1" x14ac:dyDescent="0.25"/>
  </sheetData>
  <mergeCells count="11">
    <mergeCell ref="A9:B9"/>
    <mergeCell ref="B11:M11"/>
    <mergeCell ref="B33:G33"/>
    <mergeCell ref="A1:B1"/>
    <mergeCell ref="A3:B3"/>
    <mergeCell ref="A4:B4"/>
    <mergeCell ref="A5:B5"/>
    <mergeCell ref="A6:B6"/>
    <mergeCell ref="A2:B2"/>
    <mergeCell ref="B22:N22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Ammar AL-DULAIMI</cp:lastModifiedBy>
  <dcterms:created xsi:type="dcterms:W3CDTF">2015-10-27T09:50:29Z</dcterms:created>
  <dcterms:modified xsi:type="dcterms:W3CDTF">2017-01-12T09:32:11Z</dcterms:modified>
</cp:coreProperties>
</file>